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cn294214\Downloads\"/>
    </mc:Choice>
  </mc:AlternateContent>
  <xr:revisionPtr revIDLastSave="0" documentId="8_{2725DF39-77E6-4094-A7FC-DBA3935F5DCF}" xr6:coauthVersionLast="47" xr6:coauthVersionMax="47" xr10:uidLastSave="{00000000-0000-0000-0000-000000000000}"/>
  <bookViews>
    <workbookView xWindow="28680" yWindow="870" windowWidth="29040" windowHeight="15720" tabRatio="598" xr2:uid="{00000000-000D-0000-FFFF-FFFF00000000}"/>
  </bookViews>
  <sheets>
    <sheet name="LOAP" sheetId="3" r:id="rId1"/>
    <sheet name="Credentialing Doc Checklist" sheetId="6" r:id="rId2"/>
    <sheet name="Sheet4" sheetId="7" state="hidden" r:id="rId3"/>
    <sheet name="Sheet2" sheetId="5" state="hidden" r:id="rId4"/>
    <sheet name="CBH_Taxonomies" sheetId="2" state="hidden" r:id="rId5"/>
    <sheet name="Sheet1" sheetId="4" state="hidden" r:id="rId6"/>
  </sheets>
  <definedNames>
    <definedName name="_xlnm._FilterDatabase" localSheetId="4" hidden="1">CBH_Taxonomies!$R$1:$R$918</definedName>
    <definedName name="_xlnm._FilterDatabase" localSheetId="5" hidden="1">Sheet1!$A$1:$D$294</definedName>
    <definedName name="_xlnm._FilterDatabase" localSheetId="3" hidden="1">Sheet2!$A$1:$H$1</definedName>
    <definedName name="_xlnm._FilterDatabase" localSheetId="2" hidden="1">Sheet4!$A$1:$M$1</definedName>
    <definedName name="portico_specialty" localSheetId="0">Table1[Portico_Specialty]</definedName>
    <definedName name="portico_specialty">Table1[Portico_Specialty]</definedName>
    <definedName name="TheList">OFFSET(CBH_Taxonomies!$U$2,0,0,COUNTIF(CBH_Taxonomies!$U:$U,"?*"),1)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6" l="1"/>
  <c r="F2" i="6"/>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H118" i="3" a="1"/>
  <c r="AH118" i="3" s="1"/>
  <c r="AH117" i="3" a="1"/>
  <c r="AH117" i="3" s="1"/>
  <c r="AH116" i="3" a="1"/>
  <c r="AH116" i="3" s="1"/>
  <c r="AH115" i="3" a="1"/>
  <c r="AH115" i="3" s="1"/>
  <c r="AH114" i="3" a="1"/>
  <c r="AH114" i="3" s="1"/>
  <c r="AH113" i="3" a="1"/>
  <c r="AH113" i="3" s="1"/>
  <c r="AH112" i="3" a="1"/>
  <c r="AH112" i="3" s="1"/>
  <c r="AH111" i="3" a="1"/>
  <c r="AH111" i="3" s="1"/>
  <c r="AH110" i="3" a="1"/>
  <c r="AH110" i="3" s="1"/>
  <c r="AH109" i="3" a="1"/>
  <c r="AH109" i="3" s="1"/>
  <c r="AH108" i="3" a="1"/>
  <c r="AH108" i="3" s="1"/>
  <c r="AH107" i="3" a="1"/>
  <c r="AH107" i="3" s="1"/>
  <c r="AH106" i="3" a="1"/>
  <c r="AH106" i="3" s="1"/>
  <c r="AH105" i="3" a="1"/>
  <c r="AH105" i="3" s="1"/>
  <c r="AH104" i="3" a="1"/>
  <c r="AH104" i="3" s="1"/>
  <c r="AH103" i="3" a="1"/>
  <c r="AH103" i="3" s="1"/>
  <c r="AH102" i="3" a="1"/>
  <c r="AH102" i="3" s="1"/>
  <c r="AH101" i="3" a="1"/>
  <c r="AH101" i="3" s="1"/>
  <c r="AH100" i="3" a="1"/>
  <c r="AH100" i="3" s="1"/>
  <c r="AH99" i="3" a="1"/>
  <c r="AH99" i="3" s="1"/>
  <c r="AH98" i="3" a="1"/>
  <c r="AH98" i="3" s="1"/>
  <c r="AH97" i="3" a="1"/>
  <c r="AH97" i="3" s="1"/>
  <c r="AH96" i="3" a="1"/>
  <c r="AH96" i="3" s="1"/>
  <c r="AH95" i="3" a="1"/>
  <c r="AH95" i="3" s="1"/>
  <c r="AH94" i="3" a="1"/>
  <c r="AH94" i="3" s="1"/>
  <c r="AH93" i="3" a="1"/>
  <c r="AH93" i="3" s="1"/>
  <c r="AH92" i="3" a="1"/>
  <c r="AH92" i="3" s="1"/>
  <c r="AH91" i="3" a="1"/>
  <c r="AH91" i="3" s="1"/>
  <c r="AH90" i="3" a="1"/>
  <c r="AH90" i="3" s="1"/>
  <c r="AH89" i="3" a="1"/>
  <c r="AH89" i="3" s="1"/>
  <c r="AH88" i="3" a="1"/>
  <c r="AH88" i="3" s="1"/>
  <c r="AH87" i="3" a="1"/>
  <c r="AH87" i="3" s="1"/>
  <c r="AH86" i="3" a="1"/>
  <c r="AH86" i="3" s="1"/>
  <c r="AH85" i="3" a="1"/>
  <c r="AH85" i="3" s="1"/>
  <c r="AH84" i="3" a="1"/>
  <c r="AH84" i="3" s="1"/>
  <c r="AH83" i="3" a="1"/>
  <c r="AH83" i="3" s="1"/>
  <c r="AH82" i="3" a="1"/>
  <c r="AH82" i="3" s="1"/>
  <c r="AH81" i="3" a="1"/>
  <c r="AH81" i="3" s="1"/>
  <c r="AH80" i="3" a="1"/>
  <c r="AH80" i="3" s="1"/>
  <c r="AH79" i="3" a="1"/>
  <c r="AH79" i="3" s="1"/>
  <c r="AH78" i="3" a="1"/>
  <c r="AH78" i="3" s="1"/>
  <c r="AH77" i="3" a="1"/>
  <c r="AH77" i="3" s="1"/>
  <c r="AH76" i="3" a="1"/>
  <c r="AH76" i="3" s="1"/>
  <c r="AH75" i="3" a="1"/>
  <c r="AH75" i="3" s="1"/>
  <c r="AH74" i="3" a="1"/>
  <c r="AH74" i="3" s="1"/>
  <c r="AH73" i="3" a="1"/>
  <c r="AH73" i="3" s="1"/>
  <c r="AH72" i="3" a="1"/>
  <c r="AH72" i="3" s="1"/>
  <c r="AH71" i="3" a="1"/>
  <c r="AH71" i="3" s="1"/>
  <c r="AH70" i="3" a="1"/>
  <c r="AH70" i="3" s="1"/>
  <c r="AH69" i="3" a="1"/>
  <c r="AH69" i="3" s="1"/>
  <c r="AH68" i="3" a="1"/>
  <c r="AH68" i="3" s="1"/>
  <c r="AH67" i="3" a="1"/>
  <c r="AH67" i="3" s="1"/>
  <c r="AH66" i="3" a="1"/>
  <c r="AH66" i="3" s="1"/>
  <c r="AH65" i="3" a="1"/>
  <c r="AH65" i="3" s="1"/>
  <c r="AH64" i="3" a="1"/>
  <c r="AH64" i="3" s="1"/>
  <c r="AH63" i="3" a="1"/>
  <c r="AH63" i="3" s="1"/>
  <c r="AH62" i="3" a="1"/>
  <c r="AH62" i="3" s="1"/>
  <c r="AH61" i="3" a="1"/>
  <c r="AH61" i="3" s="1"/>
  <c r="AH60" i="3" a="1"/>
  <c r="AH60" i="3" s="1"/>
  <c r="AH59" i="3" a="1"/>
  <c r="AH59" i="3" s="1"/>
  <c r="AH58" i="3" a="1"/>
  <c r="AH58" i="3" s="1"/>
  <c r="AH57" i="3" a="1"/>
  <c r="AH57" i="3" s="1"/>
  <c r="AH56" i="3" a="1"/>
  <c r="AH56" i="3" s="1"/>
  <c r="AH55" i="3" a="1"/>
  <c r="AH55" i="3" s="1"/>
  <c r="AH54" i="3" a="1"/>
  <c r="AH54" i="3" s="1"/>
  <c r="AH53" i="3" a="1"/>
  <c r="AH53" i="3" s="1"/>
  <c r="AH52" i="3" a="1"/>
  <c r="AH52" i="3" s="1"/>
  <c r="AH51" i="3" a="1"/>
  <c r="AH51" i="3" s="1"/>
  <c r="AH50" i="3" a="1"/>
  <c r="AH50" i="3" s="1"/>
  <c r="AH49" i="3" a="1"/>
  <c r="AH49" i="3" s="1"/>
  <c r="AH48" i="3" a="1"/>
  <c r="AH48" i="3" s="1"/>
  <c r="AH47" i="3" a="1"/>
  <c r="AH47" i="3" s="1"/>
  <c r="AH46" i="3" a="1"/>
  <c r="AH46" i="3" s="1"/>
  <c r="AH45" i="3" a="1"/>
  <c r="AH45" i="3" s="1"/>
  <c r="AH44" i="3" a="1"/>
  <c r="AH44" i="3" s="1"/>
  <c r="AH43" i="3" a="1"/>
  <c r="AH43" i="3" s="1"/>
  <c r="AH42" i="3" a="1"/>
  <c r="AH42" i="3" s="1"/>
  <c r="AH41" i="3" a="1"/>
  <c r="AH41" i="3" s="1"/>
  <c r="AH40" i="3" a="1"/>
  <c r="AH40" i="3" s="1"/>
  <c r="AH39" i="3" a="1"/>
  <c r="AH39" i="3" s="1"/>
  <c r="AH38" i="3" a="1"/>
  <c r="AH38" i="3" s="1"/>
  <c r="AH37" i="3" a="1"/>
  <c r="AH37" i="3" s="1"/>
  <c r="AH36" i="3" a="1"/>
  <c r="AH36" i="3" s="1"/>
  <c r="AH35" i="3" a="1"/>
  <c r="AH35" i="3" s="1"/>
  <c r="AH34" i="3" a="1"/>
  <c r="AH34" i="3" s="1"/>
  <c r="AH33" i="3" a="1"/>
  <c r="AH33" i="3" s="1"/>
  <c r="AH32" i="3" a="1"/>
  <c r="AH32" i="3" s="1"/>
  <c r="AH31" i="3" a="1"/>
  <c r="AH31" i="3" s="1"/>
  <c r="AH30" i="3" a="1"/>
  <c r="AH30" i="3" s="1"/>
  <c r="AH29" i="3" a="1"/>
  <c r="AH29" i="3" s="1"/>
  <c r="AH28" i="3" a="1"/>
  <c r="AH28" i="3" s="1"/>
  <c r="AH27" i="3" a="1"/>
  <c r="AH27" i="3" s="1"/>
  <c r="AH26" i="3" a="1"/>
  <c r="AH26" i="3" s="1"/>
  <c r="AH25" i="3" a="1"/>
  <c r="AH25" i="3" s="1"/>
  <c r="AH24" i="3" a="1"/>
  <c r="AH24" i="3" s="1"/>
  <c r="AH23" i="3" a="1"/>
  <c r="AH23" i="3" s="1"/>
  <c r="AH22" i="3" a="1"/>
  <c r="AH22" i="3" s="1"/>
  <c r="AH21" i="3" a="1"/>
  <c r="AH21" i="3" s="1"/>
  <c r="AH20" i="3" a="1"/>
  <c r="AH20" i="3" s="1"/>
  <c r="AH19" i="3" a="1"/>
  <c r="AH19" i="3" s="1"/>
  <c r="AG118" i="3" a="1"/>
  <c r="AG118" i="3" s="1"/>
  <c r="AG117" i="3" a="1"/>
  <c r="AG117" i="3" s="1"/>
  <c r="AG116" i="3" a="1"/>
  <c r="AG116" i="3" s="1"/>
  <c r="AG115" i="3" a="1"/>
  <c r="AG115" i="3" s="1"/>
  <c r="AG114" i="3" a="1"/>
  <c r="AG114" i="3" s="1"/>
  <c r="AG113" i="3" a="1"/>
  <c r="AG113" i="3" s="1"/>
  <c r="AG112" i="3" a="1"/>
  <c r="AG112" i="3" s="1"/>
  <c r="AG111" i="3" a="1"/>
  <c r="AG111" i="3" s="1"/>
  <c r="AG110" i="3" a="1"/>
  <c r="AG110" i="3" s="1"/>
  <c r="AG109" i="3" a="1"/>
  <c r="AG109" i="3" s="1"/>
  <c r="AG108" i="3" a="1"/>
  <c r="AG108" i="3" s="1"/>
  <c r="AG107" i="3" a="1"/>
  <c r="AG107" i="3" s="1"/>
  <c r="AG106" i="3" a="1"/>
  <c r="AG106" i="3" s="1"/>
  <c r="AG105" i="3" a="1"/>
  <c r="AG105" i="3" s="1"/>
  <c r="AG104" i="3" a="1"/>
  <c r="AG104" i="3" s="1"/>
  <c r="AG103" i="3" a="1"/>
  <c r="AG103" i="3" s="1"/>
  <c r="AG102" i="3" a="1"/>
  <c r="AG102" i="3" s="1"/>
  <c r="AG101" i="3" a="1"/>
  <c r="AG101" i="3" s="1"/>
  <c r="AG100" i="3" a="1"/>
  <c r="AG100" i="3" s="1"/>
  <c r="AG99" i="3" a="1"/>
  <c r="AG99" i="3" s="1"/>
  <c r="AG98" i="3" a="1"/>
  <c r="AG98" i="3" s="1"/>
  <c r="AG97" i="3" a="1"/>
  <c r="AG97" i="3" s="1"/>
  <c r="AG96" i="3" a="1"/>
  <c r="AG96" i="3" s="1"/>
  <c r="AG95" i="3" a="1"/>
  <c r="AG95" i="3" s="1"/>
  <c r="AG94" i="3" a="1"/>
  <c r="AG94" i="3" s="1"/>
  <c r="AG93" i="3" a="1"/>
  <c r="AG93" i="3" s="1"/>
  <c r="AG92" i="3" a="1"/>
  <c r="AG92" i="3" s="1"/>
  <c r="AG91" i="3" a="1"/>
  <c r="AG91" i="3" s="1"/>
  <c r="AG90" i="3" a="1"/>
  <c r="AG90" i="3" s="1"/>
  <c r="AG89" i="3" a="1"/>
  <c r="AG89" i="3" s="1"/>
  <c r="AG88" i="3" a="1"/>
  <c r="AG88" i="3" s="1"/>
  <c r="AG87" i="3" a="1"/>
  <c r="AG87" i="3" s="1"/>
  <c r="AG86" i="3" a="1"/>
  <c r="AG86" i="3" s="1"/>
  <c r="AG85" i="3" a="1"/>
  <c r="AG85" i="3" s="1"/>
  <c r="AG84" i="3" a="1"/>
  <c r="AG84" i="3" s="1"/>
  <c r="AG83" i="3" a="1"/>
  <c r="AG83" i="3" s="1"/>
  <c r="AG82" i="3" a="1"/>
  <c r="AG82" i="3" s="1"/>
  <c r="AG81" i="3" a="1"/>
  <c r="AG81" i="3" s="1"/>
  <c r="AG80" i="3" a="1"/>
  <c r="AG80" i="3" s="1"/>
  <c r="AG79" i="3" a="1"/>
  <c r="AG79" i="3" s="1"/>
  <c r="AG78" i="3" a="1"/>
  <c r="AG78" i="3" s="1"/>
  <c r="AG77" i="3" a="1"/>
  <c r="AG77" i="3" s="1"/>
  <c r="AG76" i="3" a="1"/>
  <c r="AG76" i="3" s="1"/>
  <c r="AG75" i="3" a="1"/>
  <c r="AG75" i="3" s="1"/>
  <c r="AG74" i="3" a="1"/>
  <c r="AG74" i="3" s="1"/>
  <c r="AG73" i="3" a="1"/>
  <c r="AG73" i="3" s="1"/>
  <c r="AG72" i="3" a="1"/>
  <c r="AG72" i="3" s="1"/>
  <c r="AG71" i="3" a="1"/>
  <c r="AG71" i="3" s="1"/>
  <c r="AG70" i="3" a="1"/>
  <c r="AG70" i="3" s="1"/>
  <c r="AG69" i="3" a="1"/>
  <c r="AG69" i="3" s="1"/>
  <c r="AG68" i="3" a="1"/>
  <c r="AG68" i="3" s="1"/>
  <c r="AG67" i="3" a="1"/>
  <c r="AG67" i="3" s="1"/>
  <c r="AG66" i="3" a="1"/>
  <c r="AG66" i="3" s="1"/>
  <c r="AG65" i="3" a="1"/>
  <c r="AG65" i="3" s="1"/>
  <c r="AG64" i="3" a="1"/>
  <c r="AG64" i="3" s="1"/>
  <c r="AG63" i="3" a="1"/>
  <c r="AG63" i="3" s="1"/>
  <c r="AG62" i="3" a="1"/>
  <c r="AG62" i="3" s="1"/>
  <c r="AG61" i="3" a="1"/>
  <c r="AG61" i="3" s="1"/>
  <c r="AG60" i="3" a="1"/>
  <c r="AG60" i="3" s="1"/>
  <c r="AG59" i="3" a="1"/>
  <c r="AG59" i="3" s="1"/>
  <c r="AG58" i="3" a="1"/>
  <c r="AG58" i="3" s="1"/>
  <c r="AG57" i="3" a="1"/>
  <c r="AG57" i="3" s="1"/>
  <c r="AG56" i="3" a="1"/>
  <c r="AG56" i="3" s="1"/>
  <c r="AG55" i="3" a="1"/>
  <c r="AG55" i="3" s="1"/>
  <c r="AG54" i="3" a="1"/>
  <c r="AG54" i="3" s="1"/>
  <c r="AG53" i="3" a="1"/>
  <c r="AG53" i="3" s="1"/>
  <c r="AG52" i="3" a="1"/>
  <c r="AG52" i="3" s="1"/>
  <c r="AG51" i="3" a="1"/>
  <c r="AG51" i="3" s="1"/>
  <c r="AG50" i="3" a="1"/>
  <c r="AG50" i="3" s="1"/>
  <c r="AG49" i="3" a="1"/>
  <c r="AG49" i="3" s="1"/>
  <c r="AG48" i="3" a="1"/>
  <c r="AG48" i="3" s="1"/>
  <c r="AG47" i="3" a="1"/>
  <c r="AG47" i="3" s="1"/>
  <c r="AG46" i="3" a="1"/>
  <c r="AG46" i="3" s="1"/>
  <c r="AG45" i="3" a="1"/>
  <c r="AG45" i="3" s="1"/>
  <c r="AG44" i="3" a="1"/>
  <c r="AG44" i="3" s="1"/>
  <c r="AG43" i="3" a="1"/>
  <c r="AG43" i="3" s="1"/>
  <c r="AG42" i="3" a="1"/>
  <c r="AG42" i="3" s="1"/>
  <c r="AG41" i="3" a="1"/>
  <c r="AG41" i="3" s="1"/>
  <c r="AG40" i="3" a="1"/>
  <c r="AG40" i="3" s="1"/>
  <c r="AG39" i="3" a="1"/>
  <c r="AG39" i="3" s="1"/>
  <c r="AG38" i="3" a="1"/>
  <c r="AG38" i="3" s="1"/>
  <c r="AG37" i="3" a="1"/>
  <c r="AG37" i="3" s="1"/>
  <c r="AG36" i="3" a="1"/>
  <c r="AG36" i="3" s="1"/>
  <c r="AG35" i="3" a="1"/>
  <c r="AG35" i="3" s="1"/>
  <c r="AG34" i="3" a="1"/>
  <c r="AG34" i="3" s="1"/>
  <c r="AG33" i="3" a="1"/>
  <c r="AG33" i="3" s="1"/>
  <c r="AG32" i="3" a="1"/>
  <c r="AG32" i="3" s="1"/>
  <c r="AG31" i="3" a="1"/>
  <c r="AG31" i="3" s="1"/>
  <c r="AG30" i="3" a="1"/>
  <c r="AG30" i="3" s="1"/>
  <c r="AG29" i="3" a="1"/>
  <c r="AG29" i="3" s="1"/>
  <c r="AG28" i="3" a="1"/>
  <c r="AG28" i="3" s="1"/>
  <c r="AG27" i="3" a="1"/>
  <c r="AG27" i="3" s="1"/>
  <c r="AG26" i="3" a="1"/>
  <c r="AG26" i="3" s="1"/>
  <c r="AG25" i="3" a="1"/>
  <c r="AG25" i="3" s="1"/>
  <c r="AG24" i="3" a="1"/>
  <c r="AG24" i="3" s="1"/>
  <c r="AG23" i="3" a="1"/>
  <c r="AG23" i="3" s="1"/>
  <c r="AG22" i="3" a="1"/>
  <c r="AG22" i="3" s="1"/>
  <c r="AG21" i="3" a="1"/>
  <c r="AG21" i="3" s="1"/>
  <c r="AG20" i="3" a="1"/>
  <c r="AG20" i="3" s="1"/>
  <c r="AG19" i="3" a="1"/>
  <c r="AG19" i="3" s="1"/>
  <c r="H2" i="5" a="1"/>
  <c r="H2" i="5" s="1"/>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2" i="5"/>
  <c r="C888" i="5"/>
  <c r="B888" i="5"/>
  <c r="C887" i="5"/>
  <c r="B887" i="5"/>
  <c r="C886" i="5"/>
  <c r="B886" i="5"/>
  <c r="C885" i="5"/>
  <c r="B885" i="5"/>
  <c r="C884" i="5"/>
  <c r="B884" i="5"/>
  <c r="C883" i="5"/>
  <c r="B883" i="5"/>
  <c r="C882" i="5"/>
  <c r="B882" i="5"/>
  <c r="C881" i="5"/>
  <c r="B881" i="5"/>
  <c r="C880" i="5"/>
  <c r="B880" i="5"/>
  <c r="C879" i="5"/>
  <c r="B879" i="5"/>
  <c r="C878" i="5"/>
  <c r="B878" i="5"/>
  <c r="C877" i="5"/>
  <c r="B877" i="5"/>
  <c r="C876" i="5"/>
  <c r="B876" i="5"/>
  <c r="C875" i="5"/>
  <c r="B875" i="5"/>
  <c r="C874" i="5"/>
  <c r="B874" i="5"/>
  <c r="C873" i="5"/>
  <c r="B873" i="5"/>
  <c r="C872" i="5"/>
  <c r="B872" i="5"/>
  <c r="C871" i="5"/>
  <c r="B871" i="5"/>
  <c r="C870" i="5"/>
  <c r="B870" i="5"/>
  <c r="C869" i="5"/>
  <c r="B869" i="5"/>
  <c r="C868" i="5"/>
  <c r="B868" i="5"/>
  <c r="C867" i="5"/>
  <c r="B867" i="5"/>
  <c r="C866" i="5"/>
  <c r="B866" i="5"/>
  <c r="C865" i="5"/>
  <c r="B865" i="5"/>
  <c r="C864" i="5"/>
  <c r="B864" i="5"/>
  <c r="C863" i="5"/>
  <c r="B863" i="5"/>
  <c r="C862" i="5"/>
  <c r="B862" i="5"/>
  <c r="C861" i="5"/>
  <c r="B861" i="5"/>
  <c r="C860" i="5"/>
  <c r="B860" i="5"/>
  <c r="C859" i="5"/>
  <c r="B859" i="5"/>
  <c r="C858" i="5"/>
  <c r="B858" i="5"/>
  <c r="C857" i="5"/>
  <c r="B857" i="5"/>
  <c r="C856" i="5"/>
  <c r="B856" i="5"/>
  <c r="C855" i="5"/>
  <c r="B855" i="5"/>
  <c r="C854" i="5"/>
  <c r="B854" i="5"/>
  <c r="C853" i="5"/>
  <c r="B853" i="5"/>
  <c r="C852" i="5"/>
  <c r="B852" i="5"/>
  <c r="C851" i="5"/>
  <c r="B851" i="5"/>
  <c r="C850" i="5"/>
  <c r="B850" i="5"/>
  <c r="C849" i="5"/>
  <c r="B849" i="5"/>
  <c r="C848" i="5"/>
  <c r="B848" i="5"/>
  <c r="C847" i="5"/>
  <c r="B847" i="5"/>
  <c r="C846" i="5"/>
  <c r="B846" i="5"/>
  <c r="C845" i="5"/>
  <c r="B845" i="5"/>
  <c r="C844" i="5"/>
  <c r="B844" i="5"/>
  <c r="C843" i="5"/>
  <c r="B843" i="5"/>
  <c r="C842" i="5"/>
  <c r="B842" i="5"/>
  <c r="C841" i="5"/>
  <c r="B841" i="5"/>
  <c r="C840" i="5"/>
  <c r="B840" i="5"/>
  <c r="C839" i="5"/>
  <c r="B839" i="5"/>
  <c r="C838" i="5"/>
  <c r="B838" i="5"/>
  <c r="C837" i="5"/>
  <c r="B837" i="5"/>
  <c r="C836" i="5"/>
  <c r="B836" i="5"/>
  <c r="C835" i="5"/>
  <c r="B835" i="5"/>
  <c r="C834" i="5"/>
  <c r="B834" i="5"/>
  <c r="C833" i="5"/>
  <c r="B833" i="5"/>
  <c r="C832" i="5"/>
  <c r="B832" i="5"/>
  <c r="C831" i="5"/>
  <c r="B831" i="5"/>
  <c r="C830" i="5"/>
  <c r="B830" i="5"/>
  <c r="C829" i="5"/>
  <c r="B829" i="5"/>
  <c r="C828" i="5"/>
  <c r="B828" i="5"/>
  <c r="C827" i="5"/>
  <c r="B827" i="5"/>
  <c r="C826" i="5"/>
  <c r="B826" i="5"/>
  <c r="C825" i="5"/>
  <c r="B825" i="5"/>
  <c r="C824" i="5"/>
  <c r="B824" i="5"/>
  <c r="C823" i="5"/>
  <c r="B823" i="5"/>
  <c r="C822" i="5"/>
  <c r="B822" i="5"/>
  <c r="C821" i="5"/>
  <c r="B821" i="5"/>
  <c r="C820" i="5"/>
  <c r="B820" i="5"/>
  <c r="C819" i="5"/>
  <c r="B819" i="5"/>
  <c r="C818" i="5"/>
  <c r="B818" i="5"/>
  <c r="C817" i="5"/>
  <c r="B817" i="5"/>
  <c r="C816" i="5"/>
  <c r="B816" i="5"/>
  <c r="C815" i="5"/>
  <c r="B815" i="5"/>
  <c r="C814" i="5"/>
  <c r="B814" i="5"/>
  <c r="C813" i="5"/>
  <c r="B813" i="5"/>
  <c r="C812" i="5"/>
  <c r="B812" i="5"/>
  <c r="C811" i="5"/>
  <c r="B811" i="5"/>
  <c r="C810" i="5"/>
  <c r="B810" i="5"/>
  <c r="C809" i="5"/>
  <c r="B809" i="5"/>
  <c r="C808" i="5"/>
  <c r="B808" i="5"/>
  <c r="C807" i="5"/>
  <c r="B807" i="5"/>
  <c r="C806" i="5"/>
  <c r="B806" i="5"/>
  <c r="C805" i="5"/>
  <c r="B805" i="5"/>
  <c r="C804" i="5"/>
  <c r="B804" i="5"/>
  <c r="C803" i="5"/>
  <c r="B803" i="5"/>
  <c r="C802" i="5"/>
  <c r="B802" i="5"/>
  <c r="C801" i="5"/>
  <c r="B801" i="5"/>
  <c r="C800" i="5"/>
  <c r="B800" i="5"/>
  <c r="C799" i="5"/>
  <c r="B799" i="5"/>
  <c r="C798" i="5"/>
  <c r="B798" i="5"/>
  <c r="C797" i="5"/>
  <c r="B797" i="5"/>
  <c r="C796" i="5"/>
  <c r="B796" i="5"/>
  <c r="C795" i="5"/>
  <c r="B795" i="5"/>
  <c r="C794" i="5"/>
  <c r="B794" i="5"/>
  <c r="C793" i="5"/>
  <c r="B793" i="5"/>
  <c r="C792" i="5"/>
  <c r="B792" i="5"/>
  <c r="C791" i="5"/>
  <c r="B791" i="5"/>
  <c r="C790" i="5"/>
  <c r="B790" i="5"/>
  <c r="C789" i="5"/>
  <c r="B789" i="5"/>
  <c r="C788" i="5"/>
  <c r="B788" i="5"/>
  <c r="C787" i="5"/>
  <c r="B787" i="5"/>
  <c r="C786" i="5"/>
  <c r="B786" i="5"/>
  <c r="C785" i="5"/>
  <c r="B785" i="5"/>
  <c r="C784" i="5"/>
  <c r="B784" i="5"/>
  <c r="C783" i="5"/>
  <c r="B783" i="5"/>
  <c r="C782" i="5"/>
  <c r="B782" i="5"/>
  <c r="C781" i="5"/>
  <c r="B781" i="5"/>
  <c r="C780" i="5"/>
  <c r="B780" i="5"/>
  <c r="C779" i="5"/>
  <c r="B779" i="5"/>
  <c r="C778" i="5"/>
  <c r="B778" i="5"/>
  <c r="C777" i="5"/>
  <c r="B777" i="5"/>
  <c r="C776" i="5"/>
  <c r="B776" i="5"/>
  <c r="C775" i="5"/>
  <c r="B775" i="5"/>
  <c r="C774" i="5"/>
  <c r="B774" i="5"/>
  <c r="C773" i="5"/>
  <c r="B773" i="5"/>
  <c r="C772" i="5"/>
  <c r="B772" i="5"/>
  <c r="C771" i="5"/>
  <c r="B771" i="5"/>
  <c r="C770" i="5"/>
  <c r="B770" i="5"/>
  <c r="C769" i="5"/>
  <c r="B769" i="5"/>
  <c r="C768" i="5"/>
  <c r="B768" i="5"/>
  <c r="C767" i="5"/>
  <c r="B767" i="5"/>
  <c r="C766" i="5"/>
  <c r="B766" i="5"/>
  <c r="C765" i="5"/>
  <c r="B765" i="5"/>
  <c r="C764" i="5"/>
  <c r="B764" i="5"/>
  <c r="C763" i="5"/>
  <c r="B763" i="5"/>
  <c r="C762" i="5"/>
  <c r="B762" i="5"/>
  <c r="C761" i="5"/>
  <c r="B761" i="5"/>
  <c r="C760" i="5"/>
  <c r="B760" i="5"/>
  <c r="C759" i="5"/>
  <c r="B759" i="5"/>
  <c r="C758" i="5"/>
  <c r="B758" i="5"/>
  <c r="C757" i="5"/>
  <c r="B757" i="5"/>
  <c r="C756" i="5"/>
  <c r="B756" i="5"/>
  <c r="C755" i="5"/>
  <c r="B755" i="5"/>
  <c r="C754" i="5"/>
  <c r="B754" i="5"/>
  <c r="C753" i="5"/>
  <c r="B753" i="5"/>
  <c r="C752" i="5"/>
  <c r="B752" i="5"/>
  <c r="C751" i="5"/>
  <c r="B751" i="5"/>
  <c r="C750" i="5"/>
  <c r="B750" i="5"/>
  <c r="C749" i="5"/>
  <c r="B749" i="5"/>
  <c r="C748" i="5"/>
  <c r="B748" i="5"/>
  <c r="C747" i="5"/>
  <c r="B747" i="5"/>
  <c r="C746" i="5"/>
  <c r="B746" i="5"/>
  <c r="C745" i="5"/>
  <c r="B745" i="5"/>
  <c r="C744" i="5"/>
  <c r="B744" i="5"/>
  <c r="C743" i="5"/>
  <c r="B743" i="5"/>
  <c r="C742" i="5"/>
  <c r="B742" i="5"/>
  <c r="C741" i="5"/>
  <c r="B741" i="5"/>
  <c r="C740" i="5"/>
  <c r="B740" i="5"/>
  <c r="C739" i="5"/>
  <c r="B739" i="5"/>
  <c r="C738" i="5"/>
  <c r="B738" i="5"/>
  <c r="C737" i="5"/>
  <c r="B737" i="5"/>
  <c r="C736" i="5"/>
  <c r="B736" i="5"/>
  <c r="C735" i="5"/>
  <c r="B735" i="5"/>
  <c r="C734" i="5"/>
  <c r="B734" i="5"/>
  <c r="C733" i="5"/>
  <c r="B733" i="5"/>
  <c r="C732" i="5"/>
  <c r="B732" i="5"/>
  <c r="C731" i="5"/>
  <c r="B731" i="5"/>
  <c r="C730" i="5"/>
  <c r="B730" i="5"/>
  <c r="C729" i="5"/>
  <c r="B729" i="5"/>
  <c r="C728" i="5"/>
  <c r="B728" i="5"/>
  <c r="C727" i="5"/>
  <c r="B727" i="5"/>
  <c r="C726" i="5"/>
  <c r="B726" i="5"/>
  <c r="C725" i="5"/>
  <c r="B725" i="5"/>
  <c r="C724" i="5"/>
  <c r="B724" i="5"/>
  <c r="C723" i="5"/>
  <c r="B723" i="5"/>
  <c r="C722" i="5"/>
  <c r="B722" i="5"/>
  <c r="C721" i="5"/>
  <c r="B721" i="5"/>
  <c r="C720" i="5"/>
  <c r="B720" i="5"/>
  <c r="C719" i="5"/>
  <c r="B719" i="5"/>
  <c r="C718" i="5"/>
  <c r="B718" i="5"/>
  <c r="C717" i="5"/>
  <c r="B717" i="5"/>
  <c r="C716" i="5"/>
  <c r="B716" i="5"/>
  <c r="C715" i="5"/>
  <c r="B715" i="5"/>
  <c r="C714" i="5"/>
  <c r="B714" i="5"/>
  <c r="C713" i="5"/>
  <c r="B713" i="5"/>
  <c r="C712" i="5"/>
  <c r="B712" i="5"/>
  <c r="C711" i="5"/>
  <c r="B711" i="5"/>
  <c r="C710" i="5"/>
  <c r="B710" i="5"/>
  <c r="C709" i="5"/>
  <c r="B709" i="5"/>
  <c r="C708" i="5"/>
  <c r="B708" i="5"/>
  <c r="C707" i="5"/>
  <c r="B707" i="5"/>
  <c r="C706" i="5"/>
  <c r="B706" i="5"/>
  <c r="C705" i="5"/>
  <c r="B705" i="5"/>
  <c r="C704" i="5"/>
  <c r="B704" i="5"/>
  <c r="C703" i="5"/>
  <c r="B703" i="5"/>
  <c r="C702" i="5"/>
  <c r="B702" i="5"/>
  <c r="C701" i="5"/>
  <c r="B701" i="5"/>
  <c r="C700" i="5"/>
  <c r="B700" i="5"/>
  <c r="C699" i="5"/>
  <c r="B699" i="5"/>
  <c r="C698" i="5"/>
  <c r="B698" i="5"/>
  <c r="C697" i="5"/>
  <c r="B697" i="5"/>
  <c r="C696" i="5"/>
  <c r="B696" i="5"/>
  <c r="C695" i="5"/>
  <c r="B695" i="5"/>
  <c r="C694" i="5"/>
  <c r="B694" i="5"/>
  <c r="C693" i="5"/>
  <c r="B693" i="5"/>
  <c r="C692" i="5"/>
  <c r="B692" i="5"/>
  <c r="C691" i="5"/>
  <c r="B691" i="5"/>
  <c r="C690" i="5"/>
  <c r="B690" i="5"/>
  <c r="C689" i="5"/>
  <c r="B689" i="5"/>
  <c r="C688" i="5"/>
  <c r="B688" i="5"/>
  <c r="C687" i="5"/>
  <c r="B687" i="5"/>
  <c r="C686" i="5"/>
  <c r="B686" i="5"/>
  <c r="C685" i="5"/>
  <c r="B685" i="5"/>
  <c r="C684" i="5"/>
  <c r="B684" i="5"/>
  <c r="C683" i="5"/>
  <c r="B683" i="5"/>
  <c r="C682" i="5"/>
  <c r="B682" i="5"/>
  <c r="C681" i="5"/>
  <c r="B681" i="5"/>
  <c r="C680" i="5"/>
  <c r="B680" i="5"/>
  <c r="C679" i="5"/>
  <c r="B679" i="5"/>
  <c r="C678" i="5"/>
  <c r="B678" i="5"/>
  <c r="C677" i="5"/>
  <c r="B677" i="5"/>
  <c r="C676" i="5"/>
  <c r="B676" i="5"/>
  <c r="C675" i="5"/>
  <c r="B675" i="5"/>
  <c r="C674" i="5"/>
  <c r="B674" i="5"/>
  <c r="C673" i="5"/>
  <c r="B673" i="5"/>
  <c r="C672" i="5"/>
  <c r="B672" i="5"/>
  <c r="C671" i="5"/>
  <c r="B671" i="5"/>
  <c r="C670" i="5"/>
  <c r="B670" i="5"/>
  <c r="C669" i="5"/>
  <c r="B669" i="5"/>
  <c r="C668" i="5"/>
  <c r="B668" i="5"/>
  <c r="C667" i="5"/>
  <c r="B667" i="5"/>
  <c r="C666" i="5"/>
  <c r="B666" i="5"/>
  <c r="C665" i="5"/>
  <c r="B665" i="5"/>
  <c r="C664" i="5"/>
  <c r="B664" i="5"/>
  <c r="C663" i="5"/>
  <c r="B663" i="5"/>
  <c r="C662" i="5"/>
  <c r="B662" i="5"/>
  <c r="C661" i="5"/>
  <c r="B661" i="5"/>
  <c r="C660" i="5"/>
  <c r="B660" i="5"/>
  <c r="C659" i="5"/>
  <c r="B659" i="5"/>
  <c r="C658" i="5"/>
  <c r="B658" i="5"/>
  <c r="C657" i="5"/>
  <c r="B657" i="5"/>
  <c r="C656" i="5"/>
  <c r="B656" i="5"/>
  <c r="C655" i="5"/>
  <c r="B655" i="5"/>
  <c r="C654" i="5"/>
  <c r="B654" i="5"/>
  <c r="C653" i="5"/>
  <c r="B653" i="5"/>
  <c r="C652" i="5"/>
  <c r="B652" i="5"/>
  <c r="C651" i="5"/>
  <c r="B651" i="5"/>
  <c r="C650" i="5"/>
  <c r="B650" i="5"/>
  <c r="C649" i="5"/>
  <c r="B649" i="5"/>
  <c r="C648" i="5"/>
  <c r="B648" i="5"/>
  <c r="C647" i="5"/>
  <c r="B647" i="5"/>
  <c r="C646" i="5"/>
  <c r="B646" i="5"/>
  <c r="C645" i="5"/>
  <c r="B645" i="5"/>
  <c r="C644" i="5"/>
  <c r="B644" i="5"/>
  <c r="C643" i="5"/>
  <c r="B643" i="5"/>
  <c r="C642" i="5"/>
  <c r="B642" i="5"/>
  <c r="C641" i="5"/>
  <c r="B641" i="5"/>
  <c r="C640" i="5"/>
  <c r="B640" i="5"/>
  <c r="C639" i="5"/>
  <c r="B639" i="5"/>
  <c r="C638" i="5"/>
  <c r="B638" i="5"/>
  <c r="C637" i="5"/>
  <c r="B637" i="5"/>
  <c r="C636" i="5"/>
  <c r="B636" i="5"/>
  <c r="C635" i="5"/>
  <c r="B635" i="5"/>
  <c r="C634" i="5"/>
  <c r="B634" i="5"/>
  <c r="C633" i="5"/>
  <c r="B633" i="5"/>
  <c r="C632" i="5"/>
  <c r="B632" i="5"/>
  <c r="C631" i="5"/>
  <c r="B631" i="5"/>
  <c r="C630" i="5"/>
  <c r="B630" i="5"/>
  <c r="C629" i="5"/>
  <c r="B629" i="5"/>
  <c r="C628" i="5"/>
  <c r="B628" i="5"/>
  <c r="C627" i="5"/>
  <c r="B627" i="5"/>
  <c r="C626" i="5"/>
  <c r="B626" i="5"/>
  <c r="C625" i="5"/>
  <c r="B625" i="5"/>
  <c r="C624" i="5"/>
  <c r="B624" i="5"/>
  <c r="C623" i="5"/>
  <c r="B623" i="5"/>
  <c r="C622" i="5"/>
  <c r="B622" i="5"/>
  <c r="C621" i="5"/>
  <c r="B621" i="5"/>
  <c r="C620" i="5"/>
  <c r="B620" i="5"/>
  <c r="C619" i="5"/>
  <c r="B619" i="5"/>
  <c r="C618" i="5"/>
  <c r="B618" i="5"/>
  <c r="C617" i="5"/>
  <c r="B617" i="5"/>
  <c r="C616" i="5"/>
  <c r="B616" i="5"/>
  <c r="C615" i="5"/>
  <c r="B615" i="5"/>
  <c r="C614" i="5"/>
  <c r="B614" i="5"/>
  <c r="C613" i="5"/>
  <c r="B613" i="5"/>
  <c r="C612" i="5"/>
  <c r="B612" i="5"/>
  <c r="C611" i="5"/>
  <c r="B611" i="5"/>
  <c r="C610" i="5"/>
  <c r="B610" i="5"/>
  <c r="C609" i="5"/>
  <c r="B609" i="5"/>
  <c r="C608" i="5"/>
  <c r="B608" i="5"/>
  <c r="C607" i="5"/>
  <c r="B607" i="5"/>
  <c r="C606" i="5"/>
  <c r="B606" i="5"/>
  <c r="C605" i="5"/>
  <c r="B605" i="5"/>
  <c r="C604" i="5"/>
  <c r="B604" i="5"/>
  <c r="C603" i="5"/>
  <c r="B603" i="5"/>
  <c r="C602" i="5"/>
  <c r="B602" i="5"/>
  <c r="C601" i="5"/>
  <c r="B601" i="5"/>
  <c r="C600" i="5"/>
  <c r="B600" i="5"/>
  <c r="C599" i="5"/>
  <c r="B599" i="5"/>
  <c r="C598" i="5"/>
  <c r="B598" i="5"/>
  <c r="C597" i="5"/>
  <c r="B597" i="5"/>
  <c r="C596" i="5"/>
  <c r="B596" i="5"/>
  <c r="C595" i="5"/>
  <c r="B595" i="5"/>
  <c r="C594" i="5"/>
  <c r="B594" i="5"/>
  <c r="C593" i="5"/>
  <c r="B593" i="5"/>
  <c r="C592" i="5"/>
  <c r="B592" i="5"/>
  <c r="C591" i="5"/>
  <c r="B591" i="5"/>
  <c r="C590" i="5"/>
  <c r="B590" i="5"/>
  <c r="C589" i="5"/>
  <c r="B589" i="5"/>
  <c r="C588" i="5"/>
  <c r="B588" i="5"/>
  <c r="C587" i="5"/>
  <c r="B587" i="5"/>
  <c r="C586" i="5"/>
  <c r="B586" i="5"/>
  <c r="C585" i="5"/>
  <c r="B585" i="5"/>
  <c r="C584" i="5"/>
  <c r="B584" i="5"/>
  <c r="C583" i="5"/>
  <c r="B583" i="5"/>
  <c r="C582" i="5"/>
  <c r="B582" i="5"/>
  <c r="C581" i="5"/>
  <c r="B581" i="5"/>
  <c r="C580" i="5"/>
  <c r="B580" i="5"/>
  <c r="C579" i="5"/>
  <c r="B579" i="5"/>
  <c r="C578" i="5"/>
  <c r="B578" i="5"/>
  <c r="C577" i="5"/>
  <c r="B577" i="5"/>
  <c r="C576" i="5"/>
  <c r="B576" i="5"/>
  <c r="C575" i="5"/>
  <c r="B575" i="5"/>
  <c r="C574" i="5"/>
  <c r="B574" i="5"/>
  <c r="C573" i="5"/>
  <c r="B573" i="5"/>
  <c r="C572" i="5"/>
  <c r="B572" i="5"/>
  <c r="C571" i="5"/>
  <c r="B571" i="5"/>
  <c r="C570" i="5"/>
  <c r="B570" i="5"/>
  <c r="C569" i="5"/>
  <c r="B569" i="5"/>
  <c r="C568" i="5"/>
  <c r="B568" i="5"/>
  <c r="C567" i="5"/>
  <c r="B567" i="5"/>
  <c r="C566" i="5"/>
  <c r="B566" i="5"/>
  <c r="C565" i="5"/>
  <c r="B565" i="5"/>
  <c r="C564" i="5"/>
  <c r="B564" i="5"/>
  <c r="C563" i="5"/>
  <c r="B563" i="5"/>
  <c r="C562" i="5"/>
  <c r="B562" i="5"/>
  <c r="C561" i="5"/>
  <c r="B561" i="5"/>
  <c r="C560" i="5"/>
  <c r="B560" i="5"/>
  <c r="C559" i="5"/>
  <c r="B559" i="5"/>
  <c r="C558" i="5"/>
  <c r="B558" i="5"/>
  <c r="C557" i="5"/>
  <c r="B557" i="5"/>
  <c r="C556" i="5"/>
  <c r="B556" i="5"/>
  <c r="C555" i="5"/>
  <c r="B555" i="5"/>
  <c r="C554" i="5"/>
  <c r="B554" i="5"/>
  <c r="C553" i="5"/>
  <c r="B553" i="5"/>
  <c r="C552" i="5"/>
  <c r="B552" i="5"/>
  <c r="C551" i="5"/>
  <c r="B551" i="5"/>
  <c r="C550" i="5"/>
  <c r="B550" i="5"/>
  <c r="C549" i="5"/>
  <c r="B549" i="5"/>
  <c r="C548" i="5"/>
  <c r="B548" i="5"/>
  <c r="C547" i="5"/>
  <c r="B547" i="5"/>
  <c r="C546" i="5"/>
  <c r="B546" i="5"/>
  <c r="C545" i="5"/>
  <c r="B545" i="5"/>
  <c r="C544" i="5"/>
  <c r="B544" i="5"/>
  <c r="C543" i="5"/>
  <c r="B543" i="5"/>
  <c r="C542" i="5"/>
  <c r="B542" i="5"/>
  <c r="C541" i="5"/>
  <c r="B541" i="5"/>
  <c r="C540" i="5"/>
  <c r="B540" i="5"/>
  <c r="C539" i="5"/>
  <c r="B539" i="5"/>
  <c r="C538" i="5"/>
  <c r="B538" i="5"/>
  <c r="C537" i="5"/>
  <c r="B537" i="5"/>
  <c r="C536" i="5"/>
  <c r="B536" i="5"/>
  <c r="C535" i="5"/>
  <c r="B535" i="5"/>
  <c r="C534" i="5"/>
  <c r="B534" i="5"/>
  <c r="C533" i="5"/>
  <c r="B533" i="5"/>
  <c r="C532" i="5"/>
  <c r="B532" i="5"/>
  <c r="C531" i="5"/>
  <c r="B531" i="5"/>
  <c r="C530" i="5"/>
  <c r="B530" i="5"/>
  <c r="C529" i="5"/>
  <c r="B529" i="5"/>
  <c r="C528" i="5"/>
  <c r="B528" i="5"/>
  <c r="C527" i="5"/>
  <c r="B527" i="5"/>
  <c r="C526" i="5"/>
  <c r="B526" i="5"/>
  <c r="C525" i="5"/>
  <c r="B525" i="5"/>
  <c r="C524" i="5"/>
  <c r="B524" i="5"/>
  <c r="C523" i="5"/>
  <c r="B523" i="5"/>
  <c r="C522" i="5"/>
  <c r="B522" i="5"/>
  <c r="C521" i="5"/>
  <c r="B521" i="5"/>
  <c r="C520" i="5"/>
  <c r="B520" i="5"/>
  <c r="C519" i="5"/>
  <c r="B519" i="5"/>
  <c r="C518" i="5"/>
  <c r="B518" i="5"/>
  <c r="C517" i="5"/>
  <c r="B517" i="5"/>
  <c r="C516" i="5"/>
  <c r="B516" i="5"/>
  <c r="C515" i="5"/>
  <c r="B515" i="5"/>
  <c r="C514" i="5"/>
  <c r="B514" i="5"/>
  <c r="C513" i="5"/>
  <c r="B513" i="5"/>
  <c r="C512" i="5"/>
  <c r="B512" i="5"/>
  <c r="C511" i="5"/>
  <c r="B511" i="5"/>
  <c r="C510" i="5"/>
  <c r="B510" i="5"/>
  <c r="C509" i="5"/>
  <c r="B509" i="5"/>
  <c r="C508" i="5"/>
  <c r="B508" i="5"/>
  <c r="C507" i="5"/>
  <c r="B507" i="5"/>
  <c r="C506" i="5"/>
  <c r="B506" i="5"/>
  <c r="C505" i="5"/>
  <c r="B505" i="5"/>
  <c r="C504" i="5"/>
  <c r="B504" i="5"/>
  <c r="C503" i="5"/>
  <c r="B503" i="5"/>
  <c r="C502" i="5"/>
  <c r="B502" i="5"/>
  <c r="C501" i="5"/>
  <c r="B501" i="5"/>
  <c r="C500" i="5"/>
  <c r="B500" i="5"/>
  <c r="C499" i="5"/>
  <c r="B499" i="5"/>
  <c r="C498" i="5"/>
  <c r="B498" i="5"/>
  <c r="C497" i="5"/>
  <c r="B497" i="5"/>
  <c r="C496" i="5"/>
  <c r="B496" i="5"/>
  <c r="C495" i="5"/>
  <c r="B495" i="5"/>
  <c r="C494" i="5"/>
  <c r="B494" i="5"/>
  <c r="C493" i="5"/>
  <c r="B493" i="5"/>
  <c r="C492" i="5"/>
  <c r="B492" i="5"/>
  <c r="C491" i="5"/>
  <c r="B491" i="5"/>
  <c r="C490" i="5"/>
  <c r="B490" i="5"/>
  <c r="C489" i="5"/>
  <c r="B489" i="5"/>
  <c r="C488" i="5"/>
  <c r="B488" i="5"/>
  <c r="C487" i="5"/>
  <c r="B487" i="5"/>
  <c r="C486" i="5"/>
  <c r="B486" i="5"/>
  <c r="C485" i="5"/>
  <c r="B485" i="5"/>
  <c r="C484" i="5"/>
  <c r="B484" i="5"/>
  <c r="C483" i="5"/>
  <c r="B483" i="5"/>
  <c r="C482" i="5"/>
  <c r="B482" i="5"/>
  <c r="C481" i="5"/>
  <c r="B481" i="5"/>
  <c r="C480" i="5"/>
  <c r="B480" i="5"/>
  <c r="C479" i="5"/>
  <c r="B479" i="5"/>
  <c r="C478" i="5"/>
  <c r="B478" i="5"/>
  <c r="C477" i="5"/>
  <c r="B477" i="5"/>
  <c r="C476" i="5"/>
  <c r="B476" i="5"/>
  <c r="C475" i="5"/>
  <c r="B475" i="5"/>
  <c r="C474" i="5"/>
  <c r="B474" i="5"/>
  <c r="C473" i="5"/>
  <c r="B473" i="5"/>
  <c r="C472" i="5"/>
  <c r="B472" i="5"/>
  <c r="C471" i="5"/>
  <c r="B471" i="5"/>
  <c r="C470" i="5"/>
  <c r="B470" i="5"/>
  <c r="C469" i="5"/>
  <c r="B469" i="5"/>
  <c r="C468" i="5"/>
  <c r="B468" i="5"/>
  <c r="C467" i="5"/>
  <c r="B467" i="5"/>
  <c r="C466" i="5"/>
  <c r="B466" i="5"/>
  <c r="C465" i="5"/>
  <c r="B465" i="5"/>
  <c r="C464" i="5"/>
  <c r="B464" i="5"/>
  <c r="C463" i="5"/>
  <c r="B463" i="5"/>
  <c r="C462" i="5"/>
  <c r="B462" i="5"/>
  <c r="C461" i="5"/>
  <c r="B461" i="5"/>
  <c r="C460" i="5"/>
  <c r="B460" i="5"/>
  <c r="C459" i="5"/>
  <c r="B459" i="5"/>
  <c r="C458" i="5"/>
  <c r="B458" i="5"/>
  <c r="C457" i="5"/>
  <c r="B457" i="5"/>
  <c r="C456" i="5"/>
  <c r="B456" i="5"/>
  <c r="C455" i="5"/>
  <c r="B455" i="5"/>
  <c r="C454" i="5"/>
  <c r="B454" i="5"/>
  <c r="C453" i="5"/>
  <c r="B453" i="5"/>
  <c r="C452" i="5"/>
  <c r="B452" i="5"/>
  <c r="C451" i="5"/>
  <c r="B451" i="5"/>
  <c r="C450" i="5"/>
  <c r="B450" i="5"/>
  <c r="C449" i="5"/>
  <c r="B449" i="5"/>
  <c r="C448" i="5"/>
  <c r="B448" i="5"/>
  <c r="C447" i="5"/>
  <c r="B447" i="5"/>
  <c r="C446" i="5"/>
  <c r="B446" i="5"/>
  <c r="C445" i="5"/>
  <c r="B445" i="5"/>
  <c r="C444" i="5"/>
  <c r="B444" i="5"/>
  <c r="C443" i="5"/>
  <c r="B443" i="5"/>
  <c r="C442" i="5"/>
  <c r="B442" i="5"/>
  <c r="C441" i="5"/>
  <c r="B441" i="5"/>
  <c r="C440" i="5"/>
  <c r="B440" i="5"/>
  <c r="C439" i="5"/>
  <c r="B439" i="5"/>
  <c r="C438" i="5"/>
  <c r="B438" i="5"/>
  <c r="C437" i="5"/>
  <c r="B437" i="5"/>
  <c r="C436" i="5"/>
  <c r="B436" i="5"/>
  <c r="C435" i="5"/>
  <c r="B435" i="5"/>
  <c r="C434" i="5"/>
  <c r="B434" i="5"/>
  <c r="C433" i="5"/>
  <c r="B433" i="5"/>
  <c r="C432" i="5"/>
  <c r="B432" i="5"/>
  <c r="C431" i="5"/>
  <c r="B431" i="5"/>
  <c r="C430" i="5"/>
  <c r="B430" i="5"/>
  <c r="C429" i="5"/>
  <c r="B429" i="5"/>
  <c r="C428" i="5"/>
  <c r="B428" i="5"/>
  <c r="C427" i="5"/>
  <c r="B427" i="5"/>
  <c r="C426" i="5"/>
  <c r="B426" i="5"/>
  <c r="C425" i="5"/>
  <c r="B425" i="5"/>
  <c r="C424" i="5"/>
  <c r="B424" i="5"/>
  <c r="C423" i="5"/>
  <c r="B423" i="5"/>
  <c r="C422" i="5"/>
  <c r="B422" i="5"/>
  <c r="C421" i="5"/>
  <c r="B421" i="5"/>
  <c r="C420" i="5"/>
  <c r="B420" i="5"/>
  <c r="C419" i="5"/>
  <c r="B419" i="5"/>
  <c r="C418" i="5"/>
  <c r="B418" i="5"/>
  <c r="C417" i="5"/>
  <c r="B417" i="5"/>
  <c r="C416" i="5"/>
  <c r="B416" i="5"/>
  <c r="C415" i="5"/>
  <c r="B415" i="5"/>
  <c r="C414" i="5"/>
  <c r="B414" i="5"/>
  <c r="C413" i="5"/>
  <c r="B413" i="5"/>
  <c r="C412" i="5"/>
  <c r="B412" i="5"/>
  <c r="C411" i="5"/>
  <c r="B411" i="5"/>
  <c r="C410" i="5"/>
  <c r="B410" i="5"/>
  <c r="C409" i="5"/>
  <c r="B409" i="5"/>
  <c r="C408" i="5"/>
  <c r="B408" i="5"/>
  <c r="C407" i="5"/>
  <c r="B407" i="5"/>
  <c r="C406" i="5"/>
  <c r="B406" i="5"/>
  <c r="C405" i="5"/>
  <c r="B405" i="5"/>
  <c r="C404" i="5"/>
  <c r="B404" i="5"/>
  <c r="C403" i="5"/>
  <c r="B403" i="5"/>
  <c r="C402" i="5"/>
  <c r="B402" i="5"/>
  <c r="C401" i="5"/>
  <c r="B401" i="5"/>
  <c r="C400" i="5"/>
  <c r="B400" i="5"/>
  <c r="C399" i="5"/>
  <c r="B399" i="5"/>
  <c r="C398" i="5"/>
  <c r="B398" i="5"/>
  <c r="C397" i="5"/>
  <c r="B397" i="5"/>
  <c r="C396" i="5"/>
  <c r="B396" i="5"/>
  <c r="C395" i="5"/>
  <c r="B395" i="5"/>
  <c r="C394" i="5"/>
  <c r="B394" i="5"/>
  <c r="C393" i="5"/>
  <c r="B393" i="5"/>
  <c r="C392" i="5"/>
  <c r="B392" i="5"/>
  <c r="C391" i="5"/>
  <c r="B391" i="5"/>
  <c r="C390" i="5"/>
  <c r="B390" i="5"/>
  <c r="C389" i="5"/>
  <c r="B389" i="5"/>
  <c r="C388" i="5"/>
  <c r="B388" i="5"/>
  <c r="C387" i="5"/>
  <c r="B387" i="5"/>
  <c r="C386" i="5"/>
  <c r="B386" i="5"/>
  <c r="C385" i="5"/>
  <c r="B385" i="5"/>
  <c r="C384" i="5"/>
  <c r="B384" i="5"/>
  <c r="C383" i="5"/>
  <c r="B383" i="5"/>
  <c r="C382" i="5"/>
  <c r="B382" i="5"/>
  <c r="C381" i="5"/>
  <c r="B381" i="5"/>
  <c r="C380" i="5"/>
  <c r="B380" i="5"/>
  <c r="C379" i="5"/>
  <c r="B379" i="5"/>
  <c r="C378" i="5"/>
  <c r="B378" i="5"/>
  <c r="C377" i="5"/>
  <c r="B377" i="5"/>
  <c r="C376" i="5"/>
  <c r="B376" i="5"/>
  <c r="C375" i="5"/>
  <c r="B375" i="5"/>
  <c r="C374" i="5"/>
  <c r="B374" i="5"/>
  <c r="C373" i="5"/>
  <c r="B373" i="5"/>
  <c r="C372" i="5"/>
  <c r="B372" i="5"/>
  <c r="C371" i="5"/>
  <c r="B371" i="5"/>
  <c r="C370" i="5"/>
  <c r="B370" i="5"/>
  <c r="C369" i="5"/>
  <c r="B369" i="5"/>
  <c r="C368" i="5"/>
  <c r="B368" i="5"/>
  <c r="C367" i="5"/>
  <c r="B367" i="5"/>
  <c r="C366" i="5"/>
  <c r="B366" i="5"/>
  <c r="C365" i="5"/>
  <c r="B365" i="5"/>
  <c r="C364" i="5"/>
  <c r="B364" i="5"/>
  <c r="C363" i="5"/>
  <c r="B363" i="5"/>
  <c r="C362" i="5"/>
  <c r="B362" i="5"/>
  <c r="C361" i="5"/>
  <c r="B361" i="5"/>
  <c r="C360" i="5"/>
  <c r="B360" i="5"/>
  <c r="C359" i="5"/>
  <c r="B359" i="5"/>
  <c r="C358" i="5"/>
  <c r="B358" i="5"/>
  <c r="C357" i="5"/>
  <c r="B357" i="5"/>
  <c r="C356" i="5"/>
  <c r="B356" i="5"/>
  <c r="C355" i="5"/>
  <c r="B355" i="5"/>
  <c r="C354" i="5"/>
  <c r="B354" i="5"/>
  <c r="C353" i="5"/>
  <c r="B353" i="5"/>
  <c r="C352" i="5"/>
  <c r="B352" i="5"/>
  <c r="C351" i="5"/>
  <c r="B351" i="5"/>
  <c r="C350" i="5"/>
  <c r="B350" i="5"/>
  <c r="C349" i="5"/>
  <c r="B349" i="5"/>
  <c r="C348" i="5"/>
  <c r="B348" i="5"/>
  <c r="C347" i="5"/>
  <c r="B347" i="5"/>
  <c r="C346" i="5"/>
  <c r="B346" i="5"/>
  <c r="C345" i="5"/>
  <c r="B345" i="5"/>
  <c r="C344" i="5"/>
  <c r="B344" i="5"/>
  <c r="C343" i="5"/>
  <c r="B343" i="5"/>
  <c r="C342" i="5"/>
  <c r="B342" i="5"/>
  <c r="C341" i="5"/>
  <c r="B341" i="5"/>
  <c r="C340" i="5"/>
  <c r="B340" i="5"/>
  <c r="C339" i="5"/>
  <c r="B339" i="5"/>
  <c r="C338" i="5"/>
  <c r="B338" i="5"/>
  <c r="C337" i="5"/>
  <c r="B337" i="5"/>
  <c r="C336" i="5"/>
  <c r="B336" i="5"/>
  <c r="C335" i="5"/>
  <c r="B335" i="5"/>
  <c r="C334" i="5"/>
  <c r="B334" i="5"/>
  <c r="C333" i="5"/>
  <c r="B333" i="5"/>
  <c r="C332" i="5"/>
  <c r="B332" i="5"/>
  <c r="C331" i="5"/>
  <c r="B331" i="5"/>
  <c r="C330" i="5"/>
  <c r="B330" i="5"/>
  <c r="C329" i="5"/>
  <c r="B329" i="5"/>
  <c r="C328" i="5"/>
  <c r="B328" i="5"/>
  <c r="C327" i="5"/>
  <c r="B327" i="5"/>
  <c r="C326" i="5"/>
  <c r="B326" i="5"/>
  <c r="C325" i="5"/>
  <c r="B325" i="5"/>
  <c r="C324" i="5"/>
  <c r="B324" i="5"/>
  <c r="C323" i="5"/>
  <c r="B323" i="5"/>
  <c r="C322" i="5"/>
  <c r="B322" i="5"/>
  <c r="C321" i="5"/>
  <c r="B321" i="5"/>
  <c r="C320" i="5"/>
  <c r="B320" i="5"/>
  <c r="C319" i="5"/>
  <c r="B319" i="5"/>
  <c r="C318" i="5"/>
  <c r="B318" i="5"/>
  <c r="C317" i="5"/>
  <c r="B317" i="5"/>
  <c r="C316" i="5"/>
  <c r="B316" i="5"/>
  <c r="C315" i="5"/>
  <c r="B315" i="5"/>
  <c r="C314" i="5"/>
  <c r="B314" i="5"/>
  <c r="C313" i="5"/>
  <c r="B313" i="5"/>
  <c r="C312" i="5"/>
  <c r="B312" i="5"/>
  <c r="C311" i="5"/>
  <c r="B311" i="5"/>
  <c r="C310" i="5"/>
  <c r="B310" i="5"/>
  <c r="C309" i="5"/>
  <c r="B309" i="5"/>
  <c r="C308" i="5"/>
  <c r="B308" i="5"/>
  <c r="C307" i="5"/>
  <c r="B307" i="5"/>
  <c r="C306" i="5"/>
  <c r="B306" i="5"/>
  <c r="C305" i="5"/>
  <c r="B305" i="5"/>
  <c r="C304" i="5"/>
  <c r="B304" i="5"/>
  <c r="C303" i="5"/>
  <c r="B303" i="5"/>
  <c r="C302" i="5"/>
  <c r="B302" i="5"/>
  <c r="C301" i="5"/>
  <c r="B301" i="5"/>
  <c r="C300" i="5"/>
  <c r="B300" i="5"/>
  <c r="C299" i="5"/>
  <c r="B299" i="5"/>
  <c r="C298" i="5"/>
  <c r="B298" i="5"/>
  <c r="C297" i="5"/>
  <c r="B297" i="5"/>
  <c r="C296" i="5"/>
  <c r="B296" i="5"/>
  <c r="C295" i="5"/>
  <c r="B295" i="5"/>
  <c r="C294" i="5"/>
  <c r="B294" i="5"/>
  <c r="C293" i="5"/>
  <c r="B293" i="5"/>
  <c r="C292" i="5"/>
  <c r="B292" i="5"/>
  <c r="C291" i="5"/>
  <c r="B291" i="5"/>
  <c r="C290" i="5"/>
  <c r="B290" i="5"/>
  <c r="C289" i="5"/>
  <c r="B289" i="5"/>
  <c r="C288" i="5"/>
  <c r="B288" i="5"/>
  <c r="C287" i="5"/>
  <c r="B287" i="5"/>
  <c r="C286" i="5"/>
  <c r="B286" i="5"/>
  <c r="C285" i="5"/>
  <c r="B285" i="5"/>
  <c r="C284" i="5"/>
  <c r="B284" i="5"/>
  <c r="C283" i="5"/>
  <c r="B283" i="5"/>
  <c r="C282" i="5"/>
  <c r="B282" i="5"/>
  <c r="C281" i="5"/>
  <c r="B281" i="5"/>
  <c r="C280" i="5"/>
  <c r="B280" i="5"/>
  <c r="C279" i="5"/>
  <c r="B279" i="5"/>
  <c r="C278" i="5"/>
  <c r="B278" i="5"/>
  <c r="C277" i="5"/>
  <c r="B277" i="5"/>
  <c r="C276" i="5"/>
  <c r="B276" i="5"/>
  <c r="C275" i="5"/>
  <c r="B275" i="5"/>
  <c r="C274" i="5"/>
  <c r="B274" i="5"/>
  <c r="C273" i="5"/>
  <c r="B273" i="5"/>
  <c r="C272" i="5"/>
  <c r="B272" i="5"/>
  <c r="C271" i="5"/>
  <c r="B271" i="5"/>
  <c r="C270" i="5"/>
  <c r="B270" i="5"/>
  <c r="C269" i="5"/>
  <c r="B269" i="5"/>
  <c r="C268" i="5"/>
  <c r="B268" i="5"/>
  <c r="C267" i="5"/>
  <c r="B267" i="5"/>
  <c r="C266" i="5"/>
  <c r="B266" i="5"/>
  <c r="C265" i="5"/>
  <c r="B265" i="5"/>
  <c r="C264" i="5"/>
  <c r="B264" i="5"/>
  <c r="C263" i="5"/>
  <c r="B263" i="5"/>
  <c r="C262" i="5"/>
  <c r="B262" i="5"/>
  <c r="C261" i="5"/>
  <c r="B261" i="5"/>
  <c r="C260" i="5"/>
  <c r="B260" i="5"/>
  <c r="C259" i="5"/>
  <c r="B259" i="5"/>
  <c r="C258" i="5"/>
  <c r="B258" i="5"/>
  <c r="C257" i="5"/>
  <c r="B257" i="5"/>
  <c r="C256" i="5"/>
  <c r="B256" i="5"/>
  <c r="C255" i="5"/>
  <c r="B255" i="5"/>
  <c r="C254" i="5"/>
  <c r="B254" i="5"/>
  <c r="C253" i="5"/>
  <c r="B253" i="5"/>
  <c r="C252" i="5"/>
  <c r="B252" i="5"/>
  <c r="C251" i="5"/>
  <c r="B251" i="5"/>
  <c r="C250" i="5"/>
  <c r="B250" i="5"/>
  <c r="C249" i="5"/>
  <c r="B249" i="5"/>
  <c r="C248" i="5"/>
  <c r="B248" i="5"/>
  <c r="C247" i="5"/>
  <c r="B247" i="5"/>
  <c r="C246" i="5"/>
  <c r="B246" i="5"/>
  <c r="C245" i="5"/>
  <c r="B245" i="5"/>
  <c r="C244" i="5"/>
  <c r="B244" i="5"/>
  <c r="C243" i="5"/>
  <c r="B243" i="5"/>
  <c r="C242" i="5"/>
  <c r="B242" i="5"/>
  <c r="C241" i="5"/>
  <c r="B241" i="5"/>
  <c r="C240" i="5"/>
  <c r="B240" i="5"/>
  <c r="C239" i="5"/>
  <c r="B239" i="5"/>
  <c r="C238" i="5"/>
  <c r="B238" i="5"/>
  <c r="C237" i="5"/>
  <c r="B237" i="5"/>
  <c r="C236" i="5"/>
  <c r="B236" i="5"/>
  <c r="C235" i="5"/>
  <c r="B235" i="5"/>
  <c r="C234" i="5"/>
  <c r="B234" i="5"/>
  <c r="C233" i="5"/>
  <c r="B233" i="5"/>
  <c r="C232" i="5"/>
  <c r="B232" i="5"/>
  <c r="C231" i="5"/>
  <c r="B231" i="5"/>
  <c r="C230" i="5"/>
  <c r="B230" i="5"/>
  <c r="C229" i="5"/>
  <c r="B229" i="5"/>
  <c r="C228" i="5"/>
  <c r="B228" i="5"/>
  <c r="C227" i="5"/>
  <c r="B227" i="5"/>
  <c r="C226" i="5"/>
  <c r="B226" i="5"/>
  <c r="C225" i="5"/>
  <c r="B225" i="5"/>
  <c r="C224" i="5"/>
  <c r="B224" i="5"/>
  <c r="C223" i="5"/>
  <c r="B223" i="5"/>
  <c r="C222" i="5"/>
  <c r="B222" i="5"/>
  <c r="C221" i="5"/>
  <c r="B221" i="5"/>
  <c r="C220" i="5"/>
  <c r="B220" i="5"/>
  <c r="C219" i="5"/>
  <c r="B219" i="5"/>
  <c r="C218" i="5"/>
  <c r="B218" i="5"/>
  <c r="C217" i="5"/>
  <c r="B217" i="5"/>
  <c r="C216" i="5"/>
  <c r="B216" i="5"/>
  <c r="C215" i="5"/>
  <c r="B215" i="5"/>
  <c r="C214" i="5"/>
  <c r="B214" i="5"/>
  <c r="C213" i="5"/>
  <c r="B213" i="5"/>
  <c r="C212" i="5"/>
  <c r="B212" i="5"/>
  <c r="C211" i="5"/>
  <c r="B211" i="5"/>
  <c r="C210" i="5"/>
  <c r="B210" i="5"/>
  <c r="C209" i="5"/>
  <c r="B209" i="5"/>
  <c r="C208" i="5"/>
  <c r="B208" i="5"/>
  <c r="C207" i="5"/>
  <c r="B207" i="5"/>
  <c r="C206" i="5"/>
  <c r="B206" i="5"/>
  <c r="C205" i="5"/>
  <c r="B205" i="5"/>
  <c r="C204" i="5"/>
  <c r="B204" i="5"/>
  <c r="C203" i="5"/>
  <c r="B203" i="5"/>
  <c r="C202" i="5"/>
  <c r="B202" i="5"/>
  <c r="C201" i="5"/>
  <c r="B201" i="5"/>
  <c r="C200" i="5"/>
  <c r="B200" i="5"/>
  <c r="C199" i="5"/>
  <c r="B199" i="5"/>
  <c r="C198" i="5"/>
  <c r="B198" i="5"/>
  <c r="C197" i="5"/>
  <c r="B197" i="5"/>
  <c r="C196" i="5"/>
  <c r="B196" i="5"/>
  <c r="C195" i="5"/>
  <c r="B195" i="5"/>
  <c r="C194" i="5"/>
  <c r="B194" i="5"/>
  <c r="C193" i="5"/>
  <c r="B193" i="5"/>
  <c r="C192" i="5"/>
  <c r="B192" i="5"/>
  <c r="C191" i="5"/>
  <c r="B191" i="5"/>
  <c r="C190" i="5"/>
  <c r="B190" i="5"/>
  <c r="C189" i="5"/>
  <c r="B189" i="5"/>
  <c r="C188" i="5"/>
  <c r="B188" i="5"/>
  <c r="C187" i="5"/>
  <c r="B187" i="5"/>
  <c r="C186" i="5"/>
  <c r="B186" i="5"/>
  <c r="C185" i="5"/>
  <c r="B185" i="5"/>
  <c r="C184" i="5"/>
  <c r="B184" i="5"/>
  <c r="C183" i="5"/>
  <c r="B183" i="5"/>
  <c r="C182" i="5"/>
  <c r="B182" i="5"/>
  <c r="C181" i="5"/>
  <c r="B181" i="5"/>
  <c r="C180" i="5"/>
  <c r="B180" i="5"/>
  <c r="C179" i="5"/>
  <c r="B179" i="5"/>
  <c r="C178" i="5"/>
  <c r="B178" i="5"/>
  <c r="C177" i="5"/>
  <c r="B177" i="5"/>
  <c r="C176" i="5"/>
  <c r="B176" i="5"/>
  <c r="C175" i="5"/>
  <c r="B175" i="5"/>
  <c r="C174" i="5"/>
  <c r="B174" i="5"/>
  <c r="C173" i="5"/>
  <c r="B173" i="5"/>
  <c r="C172" i="5"/>
  <c r="B172" i="5"/>
  <c r="C171" i="5"/>
  <c r="B171" i="5"/>
  <c r="C170" i="5"/>
  <c r="B170" i="5"/>
  <c r="C169" i="5"/>
  <c r="B169" i="5"/>
  <c r="C168" i="5"/>
  <c r="B168" i="5"/>
  <c r="C167" i="5"/>
  <c r="B167" i="5"/>
  <c r="C166" i="5"/>
  <c r="B166" i="5"/>
  <c r="C165" i="5"/>
  <c r="B165" i="5"/>
  <c r="C164" i="5"/>
  <c r="B164" i="5"/>
  <c r="C163" i="5"/>
  <c r="B163" i="5"/>
  <c r="C162" i="5"/>
  <c r="B162" i="5"/>
  <c r="C161" i="5"/>
  <c r="B161" i="5"/>
  <c r="C160" i="5"/>
  <c r="B160" i="5"/>
  <c r="C159" i="5"/>
  <c r="B159" i="5"/>
  <c r="C158" i="5"/>
  <c r="B158" i="5"/>
  <c r="C157" i="5"/>
  <c r="B157" i="5"/>
  <c r="C156" i="5"/>
  <c r="B156" i="5"/>
  <c r="C155" i="5"/>
  <c r="B155" i="5"/>
  <c r="C154" i="5"/>
  <c r="B154" i="5"/>
  <c r="C153" i="5"/>
  <c r="B153" i="5"/>
  <c r="C152" i="5"/>
  <c r="B152" i="5"/>
  <c r="C151" i="5"/>
  <c r="B151" i="5"/>
  <c r="C150" i="5"/>
  <c r="B150" i="5"/>
  <c r="C149" i="5"/>
  <c r="B149" i="5"/>
  <c r="C148" i="5"/>
  <c r="B148" i="5"/>
  <c r="C147" i="5"/>
  <c r="B147" i="5"/>
  <c r="C146" i="5"/>
  <c r="B146" i="5"/>
  <c r="C145" i="5"/>
  <c r="B145" i="5"/>
  <c r="C144" i="5"/>
  <c r="B144" i="5"/>
  <c r="C143" i="5"/>
  <c r="B143" i="5"/>
  <c r="C142" i="5"/>
  <c r="B142" i="5"/>
  <c r="C141" i="5"/>
  <c r="B141" i="5"/>
  <c r="C140" i="5"/>
  <c r="B140" i="5"/>
  <c r="C139" i="5"/>
  <c r="B139" i="5"/>
  <c r="C138" i="5"/>
  <c r="B138" i="5"/>
  <c r="C137" i="5"/>
  <c r="B137" i="5"/>
  <c r="C136" i="5"/>
  <c r="B136" i="5"/>
  <c r="C135" i="5"/>
  <c r="B135" i="5"/>
  <c r="C134" i="5"/>
  <c r="B134" i="5"/>
  <c r="C133" i="5"/>
  <c r="B133" i="5"/>
  <c r="C132" i="5"/>
  <c r="B132" i="5"/>
  <c r="C131" i="5"/>
  <c r="B131" i="5"/>
  <c r="C130" i="5"/>
  <c r="B130" i="5"/>
  <c r="C129" i="5"/>
  <c r="B129" i="5"/>
  <c r="C128" i="5"/>
  <c r="B128" i="5"/>
  <c r="C127" i="5"/>
  <c r="B127" i="5"/>
  <c r="C126" i="5"/>
  <c r="B126" i="5"/>
  <c r="C125" i="5"/>
  <c r="B125" i="5"/>
  <c r="C124" i="5"/>
  <c r="B124" i="5"/>
  <c r="C123" i="5"/>
  <c r="B123" i="5"/>
  <c r="C122" i="5"/>
  <c r="B122" i="5"/>
  <c r="C121" i="5"/>
  <c r="B121" i="5"/>
  <c r="C120" i="5"/>
  <c r="B120" i="5"/>
  <c r="C119" i="5"/>
  <c r="B119" i="5"/>
  <c r="C118" i="5"/>
  <c r="B118" i="5"/>
  <c r="C117" i="5"/>
  <c r="B117" i="5"/>
  <c r="C116" i="5"/>
  <c r="B116" i="5"/>
  <c r="C115" i="5"/>
  <c r="B115" i="5"/>
  <c r="C114" i="5"/>
  <c r="B114" i="5"/>
  <c r="C113" i="5"/>
  <c r="B113" i="5"/>
  <c r="C112" i="5"/>
  <c r="B112" i="5"/>
  <c r="C111" i="5"/>
  <c r="B111" i="5"/>
  <c r="C110" i="5"/>
  <c r="B110" i="5"/>
  <c r="C109" i="5"/>
  <c r="B109" i="5"/>
  <c r="C108" i="5"/>
  <c r="B108" i="5"/>
  <c r="C107" i="5"/>
  <c r="B107" i="5"/>
  <c r="C106" i="5"/>
  <c r="B106" i="5"/>
  <c r="C105" i="5"/>
  <c r="B105" i="5"/>
  <c r="C104" i="5"/>
  <c r="B104" i="5"/>
  <c r="C103" i="5"/>
  <c r="B103" i="5"/>
  <c r="C102" i="5"/>
  <c r="B102" i="5"/>
  <c r="C101" i="5"/>
  <c r="B101" i="5"/>
  <c r="C100" i="5"/>
  <c r="B100" i="5"/>
  <c r="C99" i="5"/>
  <c r="B99" i="5"/>
  <c r="C98" i="5"/>
  <c r="B98" i="5"/>
  <c r="C97" i="5"/>
  <c r="B97" i="5"/>
  <c r="C96" i="5"/>
  <c r="B96" i="5"/>
  <c r="C95" i="5"/>
  <c r="B95" i="5"/>
  <c r="C94" i="5"/>
  <c r="B94" i="5"/>
  <c r="C93" i="5"/>
  <c r="B93" i="5"/>
  <c r="C92" i="5"/>
  <c r="B92" i="5"/>
  <c r="C91" i="5"/>
  <c r="B91" i="5"/>
  <c r="C90" i="5"/>
  <c r="B90" i="5"/>
  <c r="C89" i="5"/>
  <c r="B89" i="5"/>
  <c r="C88" i="5"/>
  <c r="B88" i="5"/>
  <c r="C87" i="5"/>
  <c r="B87" i="5"/>
  <c r="C86" i="5"/>
  <c r="B86" i="5"/>
  <c r="C85" i="5"/>
  <c r="B85" i="5"/>
  <c r="C84" i="5"/>
  <c r="B84" i="5"/>
  <c r="C83" i="5"/>
  <c r="B83" i="5"/>
  <c r="C82" i="5"/>
  <c r="B82" i="5"/>
  <c r="C81" i="5"/>
  <c r="B81" i="5"/>
  <c r="C80" i="5"/>
  <c r="B80" i="5"/>
  <c r="C79" i="5"/>
  <c r="B79" i="5"/>
  <c r="C78" i="5"/>
  <c r="B78" i="5"/>
  <c r="C77" i="5"/>
  <c r="B77" i="5"/>
  <c r="C76" i="5"/>
  <c r="B76" i="5"/>
  <c r="C75" i="5"/>
  <c r="B75" i="5"/>
  <c r="C74" i="5"/>
  <c r="B74" i="5"/>
  <c r="C73" i="5"/>
  <c r="B73" i="5"/>
  <c r="C72" i="5"/>
  <c r="B72" i="5"/>
  <c r="C71" i="5"/>
  <c r="B71" i="5"/>
  <c r="C70" i="5"/>
  <c r="B70" i="5"/>
  <c r="C69" i="5"/>
  <c r="B69" i="5"/>
  <c r="C68" i="5"/>
  <c r="B68" i="5"/>
  <c r="C67" i="5"/>
  <c r="B67" i="5"/>
  <c r="C66" i="5"/>
  <c r="B66" i="5"/>
  <c r="C65" i="5"/>
  <c r="B65" i="5"/>
  <c r="C64" i="5"/>
  <c r="B64" i="5"/>
  <c r="C63" i="5"/>
  <c r="B63" i="5"/>
  <c r="C62" i="5"/>
  <c r="B62" i="5"/>
  <c r="C61" i="5"/>
  <c r="B61" i="5"/>
  <c r="C60" i="5"/>
  <c r="B60" i="5"/>
  <c r="C59" i="5"/>
  <c r="B59" i="5"/>
  <c r="C58" i="5"/>
  <c r="B58" i="5"/>
  <c r="C57" i="5"/>
  <c r="B57" i="5"/>
  <c r="C56" i="5"/>
  <c r="B56" i="5"/>
  <c r="C55" i="5"/>
  <c r="B55" i="5"/>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B32" i="5"/>
  <c r="C31" i="5"/>
  <c r="B31" i="5"/>
  <c r="C30" i="5"/>
  <c r="B30" i="5"/>
  <c r="C29" i="5"/>
  <c r="B29" i="5"/>
  <c r="C28" i="5"/>
  <c r="B28" i="5"/>
  <c r="C27" i="5"/>
  <c r="B27" i="5"/>
  <c r="C26" i="5"/>
  <c r="B26" i="5"/>
  <c r="C25" i="5"/>
  <c r="B25" i="5"/>
  <c r="C24" i="5"/>
  <c r="B24" i="5"/>
  <c r="C23" i="5"/>
  <c r="B23" i="5"/>
  <c r="C22" i="5"/>
  <c r="B22" i="5"/>
  <c r="C21" i="5"/>
  <c r="B21" i="5"/>
  <c r="C20" i="5"/>
  <c r="B20" i="5"/>
  <c r="C19" i="5"/>
  <c r="B19" i="5"/>
  <c r="C18" i="5"/>
  <c r="B18" i="5"/>
  <c r="C17" i="5"/>
  <c r="B17" i="5"/>
  <c r="C16" i="5"/>
  <c r="B16" i="5"/>
  <c r="C15" i="5"/>
  <c r="B15" i="5"/>
  <c r="C14" i="5"/>
  <c r="B14" i="5"/>
  <c r="C13" i="5"/>
  <c r="B13" i="5"/>
  <c r="C12" i="5"/>
  <c r="B12" i="5"/>
  <c r="C11" i="5"/>
  <c r="B11" i="5"/>
  <c r="C10" i="5"/>
  <c r="B10" i="5"/>
  <c r="C9" i="5"/>
  <c r="B9" i="5"/>
  <c r="C8" i="5"/>
  <c r="B8" i="5"/>
  <c r="C7" i="5"/>
  <c r="B7" i="5"/>
  <c r="C6" i="5"/>
  <c r="B6" i="5"/>
  <c r="C5" i="5"/>
  <c r="B5" i="5"/>
  <c r="C4" i="5"/>
  <c r="B4" i="5"/>
  <c r="C3" i="5"/>
  <c r="B3" i="5"/>
  <c r="C2" i="5"/>
  <c r="B2" i="5"/>
  <c r="C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T10" i="3"/>
  <c r="T11" i="3"/>
  <c r="T12" i="3"/>
  <c r="T13" i="3"/>
  <c r="T9" i="3"/>
  <c r="B186" i="2"/>
  <c r="B187" i="2"/>
  <c r="B188" i="2"/>
  <c r="B189" i="2"/>
  <c r="B190" i="2"/>
  <c r="B638" i="2"/>
  <c r="B597" i="2"/>
  <c r="B133" i="2"/>
  <c r="B134" i="2"/>
  <c r="B34" i="2"/>
  <c r="B639" i="2"/>
  <c r="B642" i="2"/>
  <c r="B643" i="2"/>
  <c r="B646" i="2"/>
  <c r="B644" i="2"/>
  <c r="B647" i="2"/>
  <c r="B645" i="2"/>
  <c r="B648" i="2"/>
  <c r="B649" i="2"/>
  <c r="B650" i="2"/>
  <c r="B651" i="2"/>
  <c r="B653" i="2"/>
  <c r="B654" i="2"/>
  <c r="B655" i="2"/>
  <c r="B656" i="2"/>
  <c r="B657" i="2"/>
  <c r="B658" i="2"/>
  <c r="B659" i="2"/>
  <c r="B652" i="2"/>
  <c r="B660" i="2"/>
  <c r="B661" i="2"/>
  <c r="B662" i="2"/>
  <c r="B812" i="2"/>
  <c r="B819" i="2"/>
  <c r="B820" i="2"/>
  <c r="B24" i="2"/>
  <c r="B353" i="2"/>
  <c r="B33" i="2"/>
  <c r="B48" i="2"/>
  <c r="B49" i="2"/>
  <c r="B50" i="2"/>
  <c r="B51" i="2"/>
  <c r="B52" i="2"/>
  <c r="B55" i="2"/>
  <c r="B56" i="2"/>
  <c r="B57" i="2"/>
  <c r="B58" i="2"/>
  <c r="B59" i="2"/>
  <c r="B53" i="2"/>
  <c r="B54" i="2"/>
  <c r="B201" i="2"/>
  <c r="B202" i="2"/>
  <c r="B203" i="2"/>
  <c r="B204" i="2"/>
  <c r="B205" i="2"/>
  <c r="B206" i="2"/>
  <c r="B210" i="2"/>
  <c r="B211" i="2"/>
  <c r="B212" i="2"/>
  <c r="B208" i="2"/>
  <c r="B207" i="2"/>
  <c r="B209" i="2"/>
  <c r="B213" i="2"/>
  <c r="B197" i="2"/>
  <c r="B200" i="2"/>
  <c r="B4" i="2"/>
  <c r="B466" i="2"/>
  <c r="B196" i="2"/>
  <c r="B199" i="2"/>
  <c r="B222" i="2"/>
  <c r="B421" i="2"/>
  <c r="B422" i="2"/>
  <c r="B224" i="2"/>
  <c r="B226" i="2"/>
  <c r="B227" i="2"/>
  <c r="B225" i="2"/>
  <c r="B223" i="2"/>
  <c r="B534" i="2"/>
  <c r="B240" i="2"/>
  <c r="B239" i="2"/>
  <c r="B238" i="2"/>
  <c r="B458" i="2"/>
  <c r="B459" i="2"/>
  <c r="B460" i="2"/>
  <c r="B462" i="2"/>
  <c r="B463" i="2"/>
  <c r="B464" i="2"/>
  <c r="B461" i="2"/>
  <c r="B898" i="2"/>
  <c r="B899" i="2"/>
  <c r="B900" i="2"/>
  <c r="B902" i="2"/>
  <c r="B903" i="2"/>
  <c r="B905" i="2"/>
  <c r="B906" i="2"/>
  <c r="B901" i="2"/>
  <c r="B904" i="2"/>
  <c r="B907" i="2"/>
  <c r="B702" i="2"/>
  <c r="B705" i="2"/>
  <c r="B706" i="2"/>
  <c r="B714" i="2"/>
  <c r="B709" i="2"/>
  <c r="B710" i="2"/>
  <c r="B711" i="2"/>
  <c r="B713" i="2"/>
  <c r="B712" i="2"/>
  <c r="B708" i="2"/>
  <c r="B715" i="2"/>
  <c r="B716" i="2"/>
  <c r="B717" i="2"/>
  <c r="B718" i="2"/>
  <c r="B719" i="2"/>
  <c r="B721" i="2"/>
  <c r="B720" i="2"/>
  <c r="B722" i="2"/>
  <c r="B724" i="2"/>
  <c r="B723" i="2"/>
  <c r="B725" i="2"/>
  <c r="B727" i="2"/>
  <c r="B726" i="2"/>
  <c r="B728" i="2"/>
  <c r="B729" i="2"/>
  <c r="B730" i="2"/>
  <c r="B735" i="2"/>
  <c r="B731" i="2"/>
  <c r="B732" i="2"/>
  <c r="B733" i="2"/>
  <c r="B734" i="2"/>
  <c r="B736" i="2"/>
  <c r="B745" i="2"/>
  <c r="B747" i="2"/>
  <c r="B746" i="2"/>
  <c r="B752" i="2"/>
  <c r="B750" i="2"/>
  <c r="B751" i="2"/>
  <c r="B748" i="2"/>
  <c r="B707" i="2"/>
  <c r="B753" i="2"/>
  <c r="B754" i="2"/>
  <c r="B755" i="2"/>
  <c r="B749" i="2"/>
  <c r="B756" i="2"/>
  <c r="B757" i="2"/>
  <c r="B759" i="2"/>
  <c r="B758" i="2"/>
  <c r="B737" i="2"/>
  <c r="B738" i="2"/>
  <c r="B739" i="2"/>
  <c r="B740" i="2"/>
  <c r="B744" i="2"/>
  <c r="B742" i="2"/>
  <c r="B741" i="2"/>
  <c r="B743" i="2"/>
  <c r="B337" i="2"/>
  <c r="B349" i="2"/>
  <c r="B345" i="2"/>
  <c r="B362" i="2"/>
  <c r="B272" i="2"/>
  <c r="B373" i="2"/>
  <c r="B374" i="2"/>
  <c r="B375" i="2"/>
  <c r="B2" i="2"/>
  <c r="B40" i="2"/>
  <c r="B319" i="2"/>
  <c r="B179" i="2"/>
  <c r="B180" i="2"/>
  <c r="B181" i="2"/>
  <c r="B229" i="2"/>
  <c r="B360" i="2"/>
  <c r="B387" i="2"/>
  <c r="B177" i="2"/>
  <c r="B323" i="2"/>
  <c r="B701" i="2"/>
  <c r="B811" i="2"/>
  <c r="B359" i="2"/>
  <c r="B842" i="2"/>
  <c r="B865" i="2"/>
  <c r="B866" i="2"/>
  <c r="B868" i="2"/>
  <c r="B867" i="2"/>
  <c r="B273" i="2"/>
  <c r="B916" i="2"/>
  <c r="B917" i="2"/>
  <c r="B321" i="2"/>
  <c r="B130" i="2"/>
  <c r="B388" i="2"/>
  <c r="B282" i="2"/>
  <c r="B371" i="2"/>
  <c r="B532" i="2"/>
  <c r="B370" i="2"/>
  <c r="B265" i="2"/>
  <c r="B351" i="2"/>
  <c r="B535" i="2"/>
  <c r="B537" i="2"/>
  <c r="B538" i="2"/>
  <c r="B539" i="2"/>
  <c r="B540" i="2"/>
  <c r="B541" i="2"/>
  <c r="B544" i="2"/>
  <c r="B543" i="2"/>
  <c r="B545" i="2"/>
  <c r="B546" i="2"/>
  <c r="B536" i="2"/>
  <c r="B542" i="2"/>
  <c r="B548" i="2"/>
  <c r="B385" i="2"/>
  <c r="B808" i="2"/>
  <c r="B289" i="2"/>
  <c r="B559" i="2"/>
  <c r="B391" i="2"/>
  <c r="B390" i="2"/>
  <c r="B465" i="2"/>
  <c r="B912" i="2"/>
  <c r="B237" i="2"/>
  <c r="B7" i="2"/>
  <c r="B8" i="2"/>
  <c r="B9" i="2"/>
  <c r="B17" i="2"/>
  <c r="B18" i="2"/>
  <c r="B19" i="2"/>
  <c r="B20" i="2"/>
  <c r="B21" i="2"/>
  <c r="B22" i="2"/>
  <c r="B215" i="2"/>
  <c r="B218" i="2"/>
  <c r="B217" i="2"/>
  <c r="B216" i="2"/>
  <c r="B219" i="2"/>
  <c r="B220" i="2"/>
  <c r="B241" i="2"/>
  <c r="B242" i="2"/>
  <c r="B247" i="2"/>
  <c r="B243" i="2"/>
  <c r="B245" i="2"/>
  <c r="B246" i="2"/>
  <c r="B244" i="2"/>
  <c r="B253" i="2"/>
  <c r="B255" i="2"/>
  <c r="B254" i="2"/>
  <c r="B256" i="2"/>
  <c r="B259" i="2"/>
  <c r="B257" i="2"/>
  <c r="B258" i="2"/>
  <c r="B261" i="2"/>
  <c r="B260" i="2"/>
  <c r="B293" i="2"/>
  <c r="B295" i="2"/>
  <c r="B296" i="2"/>
  <c r="B297" i="2"/>
  <c r="B294" i="2"/>
  <c r="B313" i="2"/>
  <c r="B298" i="2"/>
  <c r="B300" i="2"/>
  <c r="B301" i="2"/>
  <c r="B302" i="2"/>
  <c r="B303" i="2"/>
  <c r="B304" i="2"/>
  <c r="B305" i="2"/>
  <c r="B283" i="2"/>
  <c r="B306" i="2"/>
  <c r="B287" i="2"/>
  <c r="B299" i="2"/>
  <c r="B307" i="2"/>
  <c r="B309" i="2"/>
  <c r="B308" i="2"/>
  <c r="B310" i="2"/>
  <c r="B312" i="2"/>
  <c r="B314" i="2"/>
  <c r="B315" i="2"/>
  <c r="B317" i="2"/>
  <c r="B316" i="2"/>
  <c r="B318" i="2"/>
  <c r="B311" i="2"/>
  <c r="B364" i="2"/>
  <c r="B365" i="2"/>
  <c r="B363" i="2"/>
  <c r="B366" i="2"/>
  <c r="B368" i="2"/>
  <c r="B367" i="2"/>
  <c r="B389" i="2"/>
  <c r="B394" i="2"/>
  <c r="B396" i="2"/>
  <c r="B397" i="2"/>
  <c r="B395" i="2"/>
  <c r="B423" i="2"/>
  <c r="B429" i="2"/>
  <c r="B424" i="2"/>
  <c r="B431" i="2"/>
  <c r="B262" i="2"/>
  <c r="B426" i="2"/>
  <c r="B427" i="2"/>
  <c r="B428" i="2"/>
  <c r="B430" i="2"/>
  <c r="B425" i="2"/>
  <c r="B450" i="2"/>
  <c r="B453" i="2"/>
  <c r="B456" i="2"/>
  <c r="B457" i="2"/>
  <c r="B454" i="2"/>
  <c r="B455" i="2"/>
  <c r="B452" i="2"/>
  <c r="B451" i="2"/>
  <c r="B468" i="2"/>
  <c r="B474" i="2"/>
  <c r="B471" i="2"/>
  <c r="B469" i="2"/>
  <c r="B472" i="2"/>
  <c r="B470" i="2"/>
  <c r="B475" i="2"/>
  <c r="B473" i="2"/>
  <c r="B478" i="2"/>
  <c r="B483" i="2"/>
  <c r="B485" i="2"/>
  <c r="B479" i="2"/>
  <c r="B484" i="2"/>
  <c r="B480" i="2"/>
  <c r="B482" i="2"/>
  <c r="B481" i="2"/>
  <c r="B491" i="2"/>
  <c r="B495" i="2"/>
  <c r="B493" i="2"/>
  <c r="B497" i="2"/>
  <c r="B498" i="2"/>
  <c r="B499" i="2"/>
  <c r="B500" i="2"/>
  <c r="B501" i="2"/>
  <c r="B502" i="2"/>
  <c r="B504" i="2"/>
  <c r="B503" i="2"/>
  <c r="B489" i="2"/>
  <c r="B490" i="2"/>
  <c r="B492" i="2"/>
  <c r="B496" i="2"/>
  <c r="B505" i="2"/>
  <c r="B506" i="2"/>
  <c r="B507" i="2"/>
  <c r="B515" i="2"/>
  <c r="B508" i="2"/>
  <c r="B511" i="2"/>
  <c r="B509" i="2"/>
  <c r="B513" i="2"/>
  <c r="B510" i="2"/>
  <c r="B514" i="2"/>
  <c r="B516" i="2"/>
  <c r="B517" i="2"/>
  <c r="B518" i="2"/>
  <c r="B519" i="2"/>
  <c r="B520" i="2"/>
  <c r="B521" i="2"/>
  <c r="B522" i="2"/>
  <c r="B523" i="2"/>
  <c r="B524" i="2"/>
  <c r="B525" i="2"/>
  <c r="B526" i="2"/>
  <c r="B529" i="2"/>
  <c r="B528" i="2"/>
  <c r="B512" i="2"/>
  <c r="B527" i="2"/>
  <c r="B560" i="2"/>
  <c r="B562" i="2"/>
  <c r="B563" i="2"/>
  <c r="B566" i="2"/>
  <c r="B565" i="2"/>
  <c r="B561" i="2"/>
  <c r="B564" i="2"/>
  <c r="B567" i="2"/>
  <c r="B586" i="2"/>
  <c r="B587" i="2"/>
  <c r="B588" i="2"/>
  <c r="B602" i="2"/>
  <c r="B605" i="2"/>
  <c r="B603" i="2"/>
  <c r="B610" i="2"/>
  <c r="B607" i="2"/>
  <c r="B608" i="2"/>
  <c r="B609" i="2"/>
  <c r="B604" i="2"/>
  <c r="B606" i="2"/>
  <c r="B617" i="2"/>
  <c r="B626" i="2"/>
  <c r="B631" i="2"/>
  <c r="B35" i="2"/>
  <c r="B622" i="2"/>
  <c r="B623" i="2"/>
  <c r="B625" i="2"/>
  <c r="B630" i="2"/>
  <c r="B628" i="2"/>
  <c r="B629" i="2"/>
  <c r="B621" i="2"/>
  <c r="B627" i="2"/>
  <c r="B634" i="2"/>
  <c r="B619" i="2"/>
  <c r="B633" i="2"/>
  <c r="B618" i="2"/>
  <c r="B620" i="2"/>
  <c r="B624" i="2"/>
  <c r="B632" i="2"/>
  <c r="B636" i="2"/>
  <c r="B635" i="2"/>
  <c r="B637" i="2"/>
  <c r="B687" i="2"/>
  <c r="B688" i="2"/>
  <c r="B691" i="2"/>
  <c r="B692" i="2"/>
  <c r="B693" i="2"/>
  <c r="B694" i="2"/>
  <c r="B695" i="2"/>
  <c r="B689" i="2"/>
  <c r="B697" i="2"/>
  <c r="B698" i="2"/>
  <c r="B696" i="2"/>
  <c r="B690" i="2"/>
  <c r="B874" i="2"/>
  <c r="B875" i="2"/>
  <c r="B879" i="2"/>
  <c r="B878" i="2"/>
  <c r="B876" i="2"/>
  <c r="B877" i="2"/>
  <c r="B881" i="2"/>
  <c r="B882" i="2"/>
  <c r="B880" i="2"/>
  <c r="B914" i="2"/>
  <c r="B263" i="2"/>
  <c r="B915" i="2"/>
  <c r="B174" i="2"/>
  <c r="B271" i="2"/>
  <c r="B910" i="2"/>
  <c r="B286" i="2"/>
  <c r="B169" i="2"/>
  <c r="B488" i="2"/>
  <c r="B487" i="2"/>
  <c r="B322" i="2"/>
  <c r="B25" i="2"/>
  <c r="B589" i="2"/>
  <c r="B592" i="2"/>
  <c r="B594" i="2"/>
  <c r="B593" i="2"/>
  <c r="B595" i="2"/>
  <c r="B596" i="2"/>
  <c r="B590" i="2"/>
  <c r="B591" i="2"/>
  <c r="B23" i="2"/>
  <c r="B221" i="2"/>
  <c r="B477" i="2"/>
  <c r="B358" i="2"/>
  <c r="B530" i="2"/>
  <c r="B613" i="2"/>
  <c r="B131" i="2"/>
  <c r="B445" i="2"/>
  <c r="B447" i="2"/>
  <c r="B448" i="2"/>
  <c r="B449" i="2"/>
  <c r="B446" i="2"/>
  <c r="B476" i="2"/>
  <c r="B568" i="2"/>
  <c r="B569" i="2"/>
  <c r="B571" i="2"/>
  <c r="B570" i="2"/>
  <c r="B572" i="2"/>
  <c r="B573" i="2"/>
  <c r="B574" i="2"/>
  <c r="B575" i="2"/>
  <c r="B577" i="2"/>
  <c r="B578" i="2"/>
  <c r="B576" i="2"/>
  <c r="B579" i="2"/>
  <c r="B766" i="2"/>
  <c r="B843" i="2"/>
  <c r="B861" i="2"/>
  <c r="B863" i="2"/>
  <c r="B193" i="2"/>
  <c r="B357" i="2"/>
  <c r="B699" i="2"/>
  <c r="B386" i="2"/>
  <c r="B669" i="2"/>
  <c r="B760" i="2"/>
  <c r="B761" i="2"/>
  <c r="B762" i="2"/>
  <c r="B763" i="2"/>
  <c r="B432" i="2"/>
  <c r="B434" i="2"/>
  <c r="B435" i="2"/>
  <c r="B436" i="2"/>
  <c r="B437" i="2"/>
  <c r="B438" i="2"/>
  <c r="B439" i="2"/>
  <c r="B440" i="2"/>
  <c r="B441" i="2"/>
  <c r="B442" i="2"/>
  <c r="B444" i="2"/>
  <c r="B443" i="2"/>
  <c r="B433" i="2"/>
  <c r="B700" i="2"/>
  <c r="B320" i="2"/>
  <c r="B774" i="2"/>
  <c r="B775" i="2"/>
  <c r="B777" i="2"/>
  <c r="B776" i="2"/>
  <c r="B779" i="2"/>
  <c r="B778" i="2"/>
  <c r="B780" i="2"/>
  <c r="B784" i="2"/>
  <c r="B786" i="2"/>
  <c r="B785" i="2"/>
  <c r="B782" i="2"/>
  <c r="B781" i="2"/>
  <c r="B783" i="2"/>
  <c r="B787" i="2"/>
  <c r="B788" i="2"/>
  <c r="B789" i="2"/>
  <c r="B791" i="2"/>
  <c r="B790" i="2"/>
  <c r="B793" i="2"/>
  <c r="B792" i="2"/>
  <c r="B794" i="2"/>
  <c r="B798" i="2"/>
  <c r="B800" i="2"/>
  <c r="B799" i="2"/>
  <c r="B796" i="2"/>
  <c r="B795" i="2"/>
  <c r="B797" i="2"/>
  <c r="B801" i="2"/>
  <c r="B15" i="2"/>
  <c r="B29" i="2"/>
  <c r="B30" i="2"/>
  <c r="B31" i="2"/>
  <c r="B844" i="2"/>
  <c r="B862" i="2"/>
  <c r="B864" i="2"/>
  <c r="B869" i="2"/>
  <c r="B32" i="2"/>
  <c r="B276" i="2"/>
  <c r="B533" i="2"/>
  <c r="B686" i="2"/>
  <c r="B829" i="2"/>
  <c r="B830" i="2"/>
  <c r="B831" i="2"/>
  <c r="B832" i="2"/>
  <c r="B834" i="2"/>
  <c r="B833" i="2"/>
  <c r="B835" i="2"/>
  <c r="B836" i="2"/>
  <c r="B837" i="2"/>
  <c r="B838" i="2"/>
  <c r="B839" i="2"/>
  <c r="B840" i="2"/>
  <c r="B894" i="2"/>
  <c r="B895" i="2"/>
  <c r="B896" i="2"/>
  <c r="B897" i="2"/>
  <c r="B885" i="2"/>
  <c r="B821" i="2"/>
  <c r="B822" i="2"/>
  <c r="B824" i="2"/>
  <c r="B823" i="2"/>
  <c r="B825" i="2"/>
  <c r="B826" i="2"/>
  <c r="B827" i="2"/>
  <c r="B828" i="2"/>
  <c r="B845" i="2"/>
  <c r="B846" i="2"/>
  <c r="B848" i="2"/>
  <c r="B849" i="2"/>
  <c r="B847" i="2"/>
  <c r="B850" i="2"/>
  <c r="B851" i="2"/>
  <c r="B852" i="2"/>
  <c r="B853" i="2"/>
  <c r="B855" i="2"/>
  <c r="B854" i="2"/>
  <c r="B856" i="2"/>
  <c r="B857" i="2"/>
  <c r="B859" i="2"/>
  <c r="B860" i="2"/>
  <c r="B858" i="2"/>
  <c r="B886" i="2"/>
  <c r="B887" i="2"/>
  <c r="B672" i="2"/>
  <c r="B673" i="2"/>
  <c r="B675" i="2"/>
  <c r="B674" i="2"/>
  <c r="B676" i="2"/>
  <c r="B682" i="2"/>
  <c r="B677" i="2"/>
  <c r="B678" i="2"/>
  <c r="B679" i="2"/>
  <c r="B680" i="2"/>
  <c r="B681" i="2"/>
  <c r="B683" i="2"/>
  <c r="B684" i="2"/>
  <c r="B685" i="2"/>
  <c r="B888" i="2"/>
  <c r="B889" i="2"/>
  <c r="B890" i="2"/>
  <c r="B891" i="2"/>
  <c r="B892" i="2"/>
  <c r="B893" i="2"/>
  <c r="B494" i="2"/>
  <c r="B350" i="2"/>
  <c r="B39" i="2"/>
  <c r="B194" i="2"/>
  <c r="B278" i="2"/>
  <c r="B280" i="2"/>
  <c r="B284" i="2"/>
  <c r="B418" i="2"/>
  <c r="B668" i="2"/>
  <c r="B178" i="2"/>
  <c r="B486" i="2"/>
  <c r="B918" i="2"/>
  <c r="B873" i="2"/>
  <c r="B236" i="2"/>
  <c r="B264" i="2"/>
  <c r="B288" i="2"/>
  <c r="B66" i="2"/>
  <c r="B70" i="2"/>
  <c r="B71" i="2"/>
  <c r="B68" i="2"/>
  <c r="B73" i="2"/>
  <c r="B72" i="2"/>
  <c r="B74" i="2"/>
  <c r="B75" i="2"/>
  <c r="B78" i="2"/>
  <c r="B76" i="2"/>
  <c r="B77" i="2"/>
  <c r="B79" i="2"/>
  <c r="B80" i="2"/>
  <c r="B81" i="2"/>
  <c r="B83" i="2"/>
  <c r="B82" i="2"/>
  <c r="B84" i="2"/>
  <c r="B85" i="2"/>
  <c r="B86" i="2"/>
  <c r="B87" i="2"/>
  <c r="B88" i="2"/>
  <c r="B89" i="2"/>
  <c r="B90" i="2"/>
  <c r="B94" i="2"/>
  <c r="B69" i="2"/>
  <c r="B67" i="2"/>
  <c r="B96" i="2"/>
  <c r="B100" i="2"/>
  <c r="B98" i="2"/>
  <c r="B99" i="2"/>
  <c r="B97" i="2"/>
  <c r="B91" i="2"/>
  <c r="B101" i="2"/>
  <c r="B92" i="2"/>
  <c r="B95" i="2"/>
  <c r="B93" i="2"/>
  <c r="B112" i="2"/>
  <c r="B113" i="2"/>
  <c r="B109" i="2"/>
  <c r="B108" i="2"/>
  <c r="B110" i="2"/>
  <c r="B111" i="2"/>
  <c r="B107" i="2"/>
  <c r="B114" i="2"/>
  <c r="B115" i="2"/>
  <c r="B117" i="2"/>
  <c r="B116" i="2"/>
  <c r="B119" i="2"/>
  <c r="B121" i="2"/>
  <c r="B120" i="2"/>
  <c r="B122" i="2"/>
  <c r="B118" i="2"/>
  <c r="B123" i="2"/>
  <c r="B124" i="2"/>
  <c r="B106" i="2"/>
  <c r="B105" i="2"/>
  <c r="B126" i="2"/>
  <c r="B125" i="2"/>
  <c r="B127" i="2"/>
  <c r="B128" i="2"/>
  <c r="B102" i="2"/>
  <c r="B103" i="2"/>
  <c r="B104" i="2"/>
  <c r="B249" i="2"/>
  <c r="B616" i="2"/>
  <c r="B767" i="2"/>
  <c r="B369" i="2"/>
  <c r="B768" i="2"/>
  <c r="B64" i="2"/>
  <c r="B65" i="2"/>
  <c r="B352" i="2"/>
  <c r="B769" i="2"/>
  <c r="B266" i="2"/>
  <c r="B268" i="2"/>
  <c r="B267" i="2"/>
  <c r="B269" i="2"/>
  <c r="B270" i="2"/>
  <c r="B614" i="2"/>
  <c r="B764" i="2"/>
  <c r="B765" i="2"/>
  <c r="B841" i="2"/>
  <c r="B376" i="2"/>
  <c r="B377" i="2"/>
  <c r="B378" i="2"/>
  <c r="B379" i="2"/>
  <c r="B63" i="2"/>
  <c r="B372" i="2"/>
  <c r="B132" i="2"/>
  <c r="B198" i="2"/>
  <c r="B585" i="2"/>
  <c r="B250" i="2"/>
  <c r="B274" i="2"/>
  <c r="B600" i="2"/>
  <c r="B598" i="2"/>
  <c r="B26" i="2"/>
  <c r="B28" i="2"/>
  <c r="B27" i="2"/>
  <c r="B291" i="2"/>
  <c r="B10" i="2"/>
  <c r="B191" i="2"/>
  <c r="B192" i="2"/>
  <c r="B419" i="2"/>
  <c r="B809" i="2"/>
  <c r="B810" i="2"/>
  <c r="B285" i="2"/>
  <c r="B292" i="2"/>
  <c r="B61" i="2"/>
  <c r="B772" i="2"/>
  <c r="B773" i="2"/>
  <c r="B175" i="2"/>
  <c r="B176" i="2"/>
  <c r="B771" i="2"/>
  <c r="B615" i="2"/>
  <c r="B871" i="2"/>
  <c r="B872" i="2"/>
  <c r="B36" i="2"/>
  <c r="B380" i="2"/>
  <c r="B214" i="2"/>
  <c r="B290" i="2"/>
  <c r="B393" i="2"/>
  <c r="B230" i="2"/>
  <c r="B231" i="2"/>
  <c r="B232" i="2"/>
  <c r="B233" i="2"/>
  <c r="B235" i="2"/>
  <c r="B234" i="2"/>
  <c r="B251" i="2"/>
  <c r="B252" i="2"/>
  <c r="B275" i="2"/>
  <c r="B277" i="2"/>
  <c r="B248" i="2"/>
  <c r="B547" i="2"/>
  <c r="B549" i="2"/>
  <c r="B550" i="2"/>
  <c r="B551" i="2"/>
  <c r="B552" i="2"/>
  <c r="B553" i="2"/>
  <c r="B554" i="2"/>
  <c r="B555" i="2"/>
  <c r="B556" i="2"/>
  <c r="B557" i="2"/>
  <c r="B558" i="2"/>
  <c r="B612" i="2"/>
  <c r="B361" i="2"/>
  <c r="B467" i="2"/>
  <c r="B599" i="2"/>
  <c r="B11" i="2"/>
  <c r="B12" i="2"/>
  <c r="B13" i="2"/>
  <c r="B14" i="2"/>
  <c r="B381" i="2"/>
  <c r="B383" i="2"/>
  <c r="B382" i="2"/>
  <c r="B384" i="2"/>
  <c r="B807" i="2"/>
  <c r="B392" i="2"/>
  <c r="B883" i="2"/>
  <c r="B6" i="2"/>
  <c r="B37" i="2"/>
  <c r="B611" i="2"/>
  <c r="B911" i="2"/>
  <c r="B913" i="2"/>
  <c r="B580" i="2"/>
  <c r="B583" i="2"/>
  <c r="B584" i="2"/>
  <c r="B399" i="2"/>
  <c r="B400" i="2"/>
  <c r="B401" i="2"/>
  <c r="B403" i="2"/>
  <c r="B402" i="2"/>
  <c r="B404" i="2"/>
  <c r="B405" i="2"/>
  <c r="B406" i="2"/>
  <c r="B407" i="2"/>
  <c r="B410" i="2"/>
  <c r="B411" i="2"/>
  <c r="B414" i="2"/>
  <c r="B412" i="2"/>
  <c r="B413" i="2"/>
  <c r="B415" i="2"/>
  <c r="B416" i="2"/>
  <c r="B408" i="2"/>
  <c r="B409" i="2"/>
  <c r="B135" i="2"/>
  <c r="B136" i="2"/>
  <c r="B137" i="2"/>
  <c r="B140" i="2"/>
  <c r="B139" i="2"/>
  <c r="B138" i="2"/>
  <c r="B141" i="2"/>
  <c r="B142" i="2"/>
  <c r="B143" i="2"/>
  <c r="B144" i="2"/>
  <c r="B146" i="2"/>
  <c r="B145" i="2"/>
  <c r="B147" i="2"/>
  <c r="B148" i="2"/>
  <c r="B149" i="2"/>
  <c r="B150" i="2"/>
  <c r="B151" i="2"/>
  <c r="B155" i="2"/>
  <c r="B160" i="2"/>
  <c r="B158" i="2"/>
  <c r="B159" i="2"/>
  <c r="B161" i="2"/>
  <c r="B162" i="2"/>
  <c r="B163" i="2"/>
  <c r="B164" i="2"/>
  <c r="B156" i="2"/>
  <c r="B157" i="2"/>
  <c r="B165" i="2"/>
  <c r="B166" i="2"/>
  <c r="B167" i="2"/>
  <c r="B168" i="2"/>
  <c r="B152" i="2"/>
  <c r="B153" i="2"/>
  <c r="B154" i="2"/>
  <c r="B398" i="2"/>
  <c r="B5" i="2"/>
  <c r="B16" i="2"/>
  <c r="B60" i="2"/>
  <c r="B3" i="2"/>
  <c r="B195" i="2"/>
  <c r="B884" i="2"/>
  <c r="B908" i="2"/>
  <c r="B909" i="2"/>
  <c r="B228" i="2"/>
  <c r="B770" i="2"/>
  <c r="B62" i="2"/>
  <c r="B279" i="2"/>
  <c r="B420" i="2"/>
  <c r="B281" i="2"/>
  <c r="B417" i="2"/>
  <c r="B802" i="2"/>
  <c r="B803" i="2"/>
  <c r="B804" i="2"/>
  <c r="B805" i="2"/>
  <c r="B806" i="2"/>
  <c r="B870" i="2"/>
  <c r="B601" i="2"/>
  <c r="B38" i="2"/>
  <c r="B41" i="2"/>
  <c r="B42" i="2"/>
  <c r="B43" i="2"/>
  <c r="B44" i="2"/>
  <c r="B45" i="2"/>
  <c r="B46" i="2"/>
  <c r="B47" i="2"/>
  <c r="B129" i="2"/>
  <c r="B170" i="2"/>
  <c r="B171" i="2"/>
  <c r="B172" i="2"/>
  <c r="B173" i="2"/>
  <c r="B183" i="2"/>
  <c r="B184" i="2"/>
  <c r="B185" i="2"/>
  <c r="B324" i="2"/>
  <c r="B325" i="2"/>
  <c r="B326" i="2"/>
  <c r="B327" i="2"/>
  <c r="B328" i="2"/>
  <c r="B329" i="2"/>
  <c r="B330" i="2"/>
  <c r="B331" i="2"/>
  <c r="B332" i="2"/>
  <c r="B333" i="2"/>
  <c r="B334" i="2"/>
  <c r="B335" i="2"/>
  <c r="B336" i="2"/>
  <c r="B338" i="2"/>
  <c r="B339" i="2"/>
  <c r="B340" i="2"/>
  <c r="B341" i="2"/>
  <c r="B342" i="2"/>
  <c r="B343" i="2"/>
  <c r="B344" i="2"/>
  <c r="B346" i="2"/>
  <c r="B347" i="2"/>
  <c r="B348" i="2"/>
  <c r="B354" i="2"/>
  <c r="B355" i="2"/>
  <c r="B356" i="2"/>
  <c r="B531" i="2"/>
  <c r="B581" i="2"/>
  <c r="B582" i="2"/>
  <c r="B640" i="2"/>
  <c r="B641" i="2"/>
  <c r="B663" i="2"/>
  <c r="B664" i="2"/>
  <c r="B665" i="2"/>
  <c r="B666" i="2"/>
  <c r="B667" i="2"/>
  <c r="B670" i="2"/>
  <c r="B671" i="2"/>
  <c r="B703" i="2"/>
  <c r="B704" i="2"/>
  <c r="B813" i="2"/>
  <c r="B814" i="2"/>
  <c r="B815" i="2"/>
  <c r="B816" i="2"/>
  <c r="B817" i="2"/>
  <c r="B818" i="2"/>
  <c r="B182" i="2"/>
  <c r="A20" i="3"/>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S918" i="2" l="1"/>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S2" i="2"/>
  <c r="R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U507" i="2" l="1"/>
  <c r="U242" i="2"/>
  <c r="U96" i="2"/>
  <c r="U53" i="2"/>
  <c r="U856" i="2"/>
  <c r="U406" i="2"/>
  <c r="U607" i="2"/>
  <c r="U686" i="2"/>
  <c r="U228" i="2"/>
  <c r="U9" i="2"/>
  <c r="U698" i="2"/>
  <c r="U914" i="2"/>
  <c r="U798" i="2"/>
  <c r="U214" i="2"/>
  <c r="U764" i="2"/>
  <c r="U680" i="2"/>
  <c r="U768" i="2"/>
  <c r="U431" i="2"/>
  <c r="U433" i="2"/>
  <c r="U667" i="2"/>
  <c r="U205" i="2"/>
  <c r="U814" i="2"/>
  <c r="U362" i="2"/>
  <c r="U882" i="2"/>
  <c r="U681" i="2"/>
  <c r="U27" i="2"/>
  <c r="U688" i="2"/>
  <c r="U703" i="2"/>
  <c r="U756" i="2"/>
  <c r="U356" i="2"/>
  <c r="U87" i="2"/>
  <c r="U759" i="2"/>
  <c r="U851" i="2"/>
  <c r="U775" i="2"/>
  <c r="U503" i="2"/>
  <c r="U789" i="2"/>
  <c r="U262" i="2"/>
  <c r="U63" i="2"/>
  <c r="U28" i="2"/>
  <c r="U828" i="2"/>
  <c r="U36" i="2"/>
  <c r="U645" i="2"/>
  <c r="U832" i="2"/>
  <c r="U582" i="2"/>
  <c r="U6" i="2"/>
  <c r="U177" i="2"/>
  <c r="U643" i="2"/>
  <c r="U697" i="2"/>
  <c r="U336" i="2"/>
  <c r="U868" i="2"/>
  <c r="U387" i="2"/>
  <c r="U208" i="2"/>
  <c r="U691" i="2"/>
  <c r="U502" i="2"/>
  <c r="U567" i="2"/>
  <c r="U59" i="2"/>
  <c r="U279" i="2"/>
  <c r="U379" i="2"/>
  <c r="U58" i="2"/>
  <c r="U831" i="2"/>
  <c r="U382" i="2"/>
  <c r="U20" i="2"/>
  <c r="U307" i="2"/>
  <c r="U449" i="2"/>
  <c r="U478" i="2"/>
  <c r="U133" i="2"/>
  <c r="U749" i="2"/>
  <c r="U492" i="2"/>
  <c r="U603" i="2"/>
  <c r="U648" i="2"/>
  <c r="U570" i="2"/>
  <c r="U706" i="2"/>
  <c r="U572" i="2"/>
  <c r="U729" i="2"/>
  <c r="U799" i="2"/>
  <c r="U580" i="2"/>
  <c r="U268" i="2"/>
  <c r="U190" i="2"/>
  <c r="U527" i="2"/>
  <c r="U576" i="2"/>
  <c r="U751" i="2"/>
  <c r="U858" i="2"/>
  <c r="U793" i="2"/>
  <c r="U771" i="2"/>
  <c r="U797" i="2"/>
  <c r="U530" i="2"/>
  <c r="U675" i="2"/>
  <c r="U631" i="2"/>
  <c r="U735" i="2"/>
  <c r="U908" i="2"/>
  <c r="U265" i="2"/>
  <c r="U102" i="2"/>
  <c r="U439" i="2"/>
  <c r="U750" i="2"/>
  <c r="U479" i="2"/>
  <c r="U649" i="2"/>
  <c r="U845" i="2"/>
  <c r="U556" i="2"/>
  <c r="U157" i="2"/>
  <c r="U754" i="2"/>
  <c r="U347" i="2"/>
  <c r="U320" i="2"/>
  <c r="U377" i="2"/>
  <c r="U203" i="2"/>
  <c r="U850" i="2"/>
  <c r="U370" i="2"/>
  <c r="U674" i="2"/>
  <c r="U676" i="2"/>
  <c r="U613" i="2"/>
  <c r="U339" i="2"/>
  <c r="U206" i="2"/>
  <c r="U334" i="2"/>
  <c r="U668" i="2"/>
  <c r="U200" i="2"/>
  <c r="U282" i="2"/>
  <c r="U376" i="2"/>
  <c r="U835" i="2"/>
  <c r="U480" i="2"/>
  <c r="U508" i="2"/>
  <c r="U155" i="2"/>
  <c r="U863" i="2"/>
  <c r="U909" i="2"/>
  <c r="U740" i="2"/>
  <c r="U360" i="2"/>
  <c r="U78" i="2"/>
  <c r="U60" i="2"/>
  <c r="U399" i="2"/>
  <c r="U444" i="2"/>
  <c r="U684" i="2"/>
  <c r="U561" i="2"/>
  <c r="U894" i="2"/>
  <c r="U325" i="2"/>
  <c r="U779" i="2"/>
  <c r="U314" i="2"/>
  <c r="U500" i="2"/>
  <c r="U455" i="2"/>
  <c r="U167" i="2"/>
  <c r="U762" i="2"/>
  <c r="U180" i="2"/>
  <c r="U125" i="2"/>
  <c r="U162" i="2"/>
  <c r="U283" i="2"/>
  <c r="U646" i="2"/>
  <c r="U517" i="2"/>
  <c r="U142" i="2"/>
  <c r="U420" i="2"/>
  <c r="U85" i="2"/>
  <c r="U141" i="2"/>
  <c r="U860" i="2"/>
  <c r="U767" i="2"/>
  <c r="U417" i="2"/>
  <c r="U280" i="2"/>
  <c r="U601" i="2"/>
  <c r="U231" i="2"/>
  <c r="U291" i="2"/>
  <c r="U899" i="2"/>
  <c r="U618" i="2"/>
  <c r="U269" i="2"/>
  <c r="U260" i="2"/>
  <c r="U539" i="2"/>
  <c r="U501" i="2"/>
  <c r="U40" i="2"/>
  <c r="U299" i="2"/>
  <c r="U632" i="2"/>
  <c r="U616" i="2"/>
  <c r="U172" i="2"/>
  <c r="U230" i="2"/>
  <c r="U31" i="2"/>
  <c r="U219" i="2"/>
  <c r="U522" i="2"/>
  <c r="U662" i="2"/>
  <c r="U139" i="2"/>
  <c r="U836" i="2"/>
  <c r="U116" i="2"/>
  <c r="U521" i="2"/>
  <c r="U147" i="2"/>
  <c r="U57" i="2"/>
  <c r="U47" i="2"/>
  <c r="U826" i="2"/>
  <c r="U774" i="2"/>
  <c r="U83" i="2"/>
  <c r="U160" i="2"/>
  <c r="U746" i="2"/>
  <c r="U257" i="2"/>
  <c r="U65" i="2"/>
  <c r="U191" i="2"/>
  <c r="U67" i="2"/>
  <c r="U840" i="2"/>
  <c r="U338" i="2"/>
  <c r="U192" i="2"/>
  <c r="U893" i="2"/>
  <c r="U692" i="2"/>
  <c r="U274" i="2"/>
  <c r="U769" i="2"/>
  <c r="U229" i="2"/>
  <c r="U286" i="2"/>
  <c r="U436" i="2"/>
  <c r="U702" i="2"/>
  <c r="U724" i="2"/>
  <c r="U494" i="2"/>
  <c r="U558" i="2"/>
  <c r="U322" i="2"/>
  <c r="U182" i="2"/>
  <c r="U484" i="2"/>
  <c r="U364" i="2"/>
  <c r="U833" i="2"/>
  <c r="U210" i="2"/>
  <c r="U497" i="2"/>
  <c r="U150" i="2"/>
  <c r="U38" i="2"/>
  <c r="U120" i="2"/>
  <c r="U815" i="2"/>
  <c r="U514" i="2"/>
  <c r="U794" i="2"/>
  <c r="U323" i="2"/>
  <c r="U119" i="2"/>
  <c r="U743" i="2"/>
  <c r="U577" i="2"/>
  <c r="U440" i="2"/>
  <c r="U511" i="2"/>
  <c r="U591" i="2"/>
  <c r="U52" i="2"/>
  <c r="U121" i="2"/>
  <c r="U446" i="2"/>
  <c r="U13" i="2"/>
  <c r="U654" i="2"/>
  <c r="U427" i="2"/>
  <c r="U487" i="2"/>
  <c r="U640" i="2"/>
  <c r="U37" i="2"/>
  <c r="U156" i="2"/>
  <c r="U660" i="2"/>
  <c r="U250" i="2"/>
  <c r="U284" i="2"/>
  <c r="U122" i="2"/>
  <c r="U135" i="2"/>
  <c r="U348" i="2"/>
  <c r="U354" i="2"/>
  <c r="U763" i="2"/>
  <c r="U23" i="2"/>
  <c r="U625" i="2"/>
  <c r="U397" i="2"/>
  <c r="U273" i="2"/>
  <c r="U827" i="2"/>
  <c r="U655" i="2"/>
  <c r="U15" i="2"/>
  <c r="U381" i="2"/>
  <c r="U138" i="2"/>
  <c r="U578" i="2"/>
  <c r="U717" i="2"/>
  <c r="U315" i="2"/>
  <c r="U321" i="2"/>
  <c r="U538" i="2"/>
  <c r="U271" i="2"/>
  <c r="U482" i="2"/>
  <c r="U19" i="2"/>
  <c r="U51" i="2"/>
  <c r="U117" i="2"/>
  <c r="U111" i="2"/>
  <c r="U816" i="2"/>
  <c r="U176" i="2"/>
  <c r="U765" i="2"/>
  <c r="U639" i="2"/>
  <c r="U130" i="2"/>
  <c r="U136" i="2"/>
  <c r="U423" i="2"/>
  <c r="U251" i="2"/>
  <c r="U727" i="2"/>
  <c r="U812" i="2"/>
  <c r="U363" i="2"/>
  <c r="U95" i="2"/>
  <c r="U720" i="2"/>
  <c r="U588" i="2"/>
  <c r="U425" i="2"/>
  <c r="U170" i="2"/>
  <c r="U175" i="2"/>
  <c r="U32" i="2"/>
  <c r="U725" i="2"/>
  <c r="U634" i="2"/>
  <c r="U879" i="2"/>
  <c r="U669" i="2"/>
  <c r="U657" i="2"/>
  <c r="U730" i="2"/>
  <c r="U10" i="2"/>
  <c r="U586" i="2"/>
  <c r="U869" i="2"/>
  <c r="U202" i="2"/>
  <c r="U741" i="2"/>
  <c r="U854" i="2"/>
  <c r="U465" i="2"/>
  <c r="U485" i="2"/>
  <c r="U74" i="2"/>
  <c r="U734" i="2"/>
  <c r="U475" i="2"/>
  <c r="U732" i="2"/>
  <c r="U296" i="2"/>
  <c r="U89" i="2"/>
  <c r="U849" i="2"/>
  <c r="U402" i="2"/>
  <c r="U183" i="2"/>
  <c r="U94" i="2"/>
  <c r="U113" i="2"/>
  <c r="U565" i="2"/>
  <c r="U671" i="2"/>
  <c r="U571" i="2"/>
  <c r="U97" i="2"/>
  <c r="U188" i="2"/>
  <c r="U193" i="2"/>
  <c r="U642" i="2"/>
  <c r="U463" i="2"/>
  <c r="U705" i="2"/>
  <c r="U350" i="2"/>
  <c r="U498" i="2"/>
  <c r="U4" i="2"/>
  <c r="U742" i="2"/>
  <c r="U626" i="2"/>
  <c r="U575" i="2"/>
  <c r="U605" i="2"/>
  <c r="U316" i="2"/>
  <c r="U154" i="2"/>
  <c r="U396" i="2"/>
  <c r="U357" i="2"/>
  <c r="U461" i="2"/>
  <c r="U839" i="2"/>
  <c r="U300" i="2"/>
  <c r="U42" i="2"/>
  <c r="U459" i="2"/>
  <c r="U524" i="2"/>
  <c r="U701" i="2"/>
  <c r="U853" i="2"/>
  <c r="U890" i="2"/>
  <c r="U26" i="2"/>
  <c r="U306" i="2"/>
  <c r="U873" i="2"/>
  <c r="U781" i="2"/>
  <c r="U897" i="2"/>
  <c r="U554" i="2"/>
  <c r="U443" i="2"/>
  <c r="U35" i="2"/>
  <c r="U201" i="2"/>
  <c r="U801" i="2"/>
  <c r="U566" i="2"/>
  <c r="U529" i="2"/>
  <c r="U209" i="2"/>
  <c r="U44" i="2"/>
  <c r="U101" i="2"/>
  <c r="U312" i="2"/>
  <c r="U398" i="2"/>
  <c r="U543" i="2"/>
  <c r="U185" i="2"/>
  <c r="U165" i="2"/>
  <c r="U545" i="2"/>
  <c r="U825" i="2"/>
  <c r="U889" i="2"/>
  <c r="U326" i="2"/>
  <c r="U699" i="2"/>
  <c r="U82" i="2"/>
  <c r="U340" i="2"/>
  <c r="U84" i="2"/>
  <c r="U149" i="2"/>
  <c r="U791" i="2"/>
  <c r="U886" i="2"/>
  <c r="U22" i="2"/>
  <c r="U898" i="2"/>
  <c r="U548" i="2"/>
  <c r="U248" i="2"/>
  <c r="U352" i="2"/>
  <c r="U859" i="2"/>
  <c r="U460" i="2"/>
  <c r="U867" i="2"/>
  <c r="U757" i="2"/>
  <c r="U721" i="2"/>
  <c r="U5" i="2"/>
  <c r="U401" i="2"/>
  <c r="U405" i="2"/>
  <c r="U490" i="2"/>
  <c r="U252" i="2"/>
  <c r="U114" i="2"/>
  <c r="U907" i="2"/>
  <c r="U7" i="2"/>
  <c r="U236" i="2"/>
  <c r="U687" i="2"/>
  <c r="U199" i="2"/>
  <c r="U152" i="2"/>
  <c r="U223" i="2"/>
  <c r="U852" i="2"/>
  <c r="U153" i="2"/>
  <c r="U874" i="2"/>
  <c r="U902" i="2"/>
  <c r="U777" i="2"/>
  <c r="U345" i="2"/>
  <c r="U124" i="2"/>
  <c r="U659" i="2"/>
  <c r="U68" i="2"/>
  <c r="U456" i="2"/>
  <c r="U537" i="2"/>
  <c r="U876" i="2"/>
  <c r="U366" i="2"/>
  <c r="U367" i="2"/>
  <c r="U584" i="2"/>
  <c r="U332" i="2"/>
  <c r="U700" i="2"/>
  <c r="U14" i="2"/>
  <c r="U204" i="2"/>
  <c r="U358" i="2"/>
  <c r="U256" i="2"/>
  <c r="U633" i="2"/>
  <c r="U290" i="2"/>
  <c r="U906" i="2"/>
  <c r="U329" i="2"/>
  <c r="U368" i="2"/>
  <c r="U115" i="2"/>
  <c r="U29" i="2"/>
  <c r="U168" i="2"/>
  <c r="U45" i="2"/>
  <c r="U569" i="2"/>
  <c r="U418" i="2"/>
  <c r="U410" i="2"/>
  <c r="U710" i="2"/>
  <c r="U297" i="2"/>
  <c r="U378" i="2"/>
  <c r="U123" i="2"/>
  <c r="U579" i="2"/>
  <c r="U912" i="2"/>
  <c r="U66" i="2"/>
  <c r="U261" i="2"/>
  <c r="U384" i="2"/>
  <c r="U737" i="2"/>
  <c r="U573" i="2"/>
  <c r="U110" i="2"/>
  <c r="U745" i="2"/>
  <c r="U143" i="2"/>
  <c r="U711" i="2"/>
  <c r="U884" i="2"/>
  <c r="U233" i="2"/>
  <c r="U255" i="2"/>
  <c r="U426" i="2"/>
  <c r="U369" i="2"/>
  <c r="U553" i="2"/>
  <c r="U220" i="2"/>
  <c r="U319" i="2"/>
  <c r="U54" i="2"/>
  <c r="U127" i="2"/>
  <c r="U552" i="2"/>
  <c r="U140" i="2"/>
  <c r="U415" i="2"/>
  <c r="U559" i="2"/>
  <c r="U64" i="2"/>
  <c r="U915" i="2"/>
  <c r="U112" i="2"/>
  <c r="U46" i="2"/>
  <c r="U92" i="2"/>
  <c r="U408" i="2"/>
  <c r="U48" i="2"/>
  <c r="U241" i="2"/>
  <c r="U870" i="2"/>
  <c r="U34" i="2"/>
  <c r="U428" i="2"/>
  <c r="U483" i="2"/>
  <c r="U619" i="2"/>
  <c r="U106" i="2"/>
  <c r="U86" i="2"/>
  <c r="U712" i="2"/>
  <c r="U708" i="2"/>
  <c r="U277" i="2"/>
  <c r="U416" i="2"/>
  <c r="U913" i="2"/>
  <c r="U145" i="2"/>
  <c r="U612" i="2"/>
  <c r="U225" i="2"/>
  <c r="U488" i="2"/>
  <c r="U499" i="2"/>
  <c r="U709" i="2"/>
  <c r="U448" i="2"/>
  <c r="U596" i="2"/>
  <c r="U178" i="2"/>
  <c r="U137" i="2"/>
  <c r="U309" i="2"/>
  <c r="U12" i="2"/>
  <c r="U520" i="2"/>
  <c r="U77" i="2"/>
  <c r="U650" i="2"/>
  <c r="U471" i="2"/>
  <c r="U595" i="2"/>
  <c r="U581" i="2"/>
  <c r="U776" i="2"/>
  <c r="U70" i="2"/>
  <c r="U512" i="2"/>
  <c r="U621" i="2"/>
  <c r="U872" i="2"/>
  <c r="U179" i="2"/>
  <c r="U515" i="2"/>
  <c r="U445" i="2"/>
  <c r="U855" i="2"/>
  <c r="U342" i="2"/>
  <c r="U916" i="2"/>
  <c r="U773" i="2"/>
  <c r="U883" i="2"/>
  <c r="U239" i="2"/>
  <c r="U308" i="2"/>
  <c r="U824" i="2"/>
  <c r="U761" i="2"/>
  <c r="U778" i="2"/>
  <c r="U653" i="2"/>
  <c r="U81" i="2"/>
  <c r="U458" i="2"/>
  <c r="U817" i="2"/>
  <c r="U685" i="2"/>
  <c r="U25" i="2"/>
  <c r="U374" i="2"/>
  <c r="U736" i="2"/>
  <c r="U388" i="2"/>
  <c r="U404" i="2"/>
  <c r="U129" i="2"/>
  <c r="U918" i="2"/>
  <c r="U93" i="2"/>
  <c r="U651" i="2"/>
  <c r="U389" i="2"/>
  <c r="U99" i="2"/>
  <c r="U442" i="2"/>
  <c r="U881" i="2"/>
  <c r="U753" i="2"/>
  <c r="U107" i="2"/>
  <c r="U159" i="2"/>
  <c r="U295" i="2"/>
  <c r="U818" i="2"/>
  <c r="U464" i="2"/>
  <c r="U134" i="2"/>
  <c r="U644" i="2"/>
  <c r="U585" i="2"/>
  <c r="U75" i="2"/>
  <c r="U249" i="2"/>
  <c r="U834" i="2"/>
  <c r="U337" i="2"/>
  <c r="U542" i="2"/>
  <c r="U716" i="2"/>
  <c r="U164" i="2"/>
  <c r="U590" i="2"/>
  <c r="U450" i="2"/>
  <c r="U780" i="2"/>
  <c r="U615" i="2"/>
  <c r="U544" i="2"/>
  <c r="U813" i="2"/>
  <c r="U392" i="2"/>
  <c r="U331" i="2"/>
  <c r="U844" i="2"/>
  <c r="U823" i="2"/>
  <c r="U211" i="2"/>
  <c r="U166" i="2"/>
  <c r="U80" i="2"/>
  <c r="U264" i="2"/>
  <c r="U227" i="2"/>
  <c r="U100" i="2"/>
  <c r="U518" i="2"/>
  <c r="U317" i="2"/>
  <c r="U493" i="2"/>
  <c r="U807" i="2"/>
  <c r="U259" i="2"/>
  <c r="U330" i="2"/>
  <c r="U375" i="2"/>
  <c r="U275" i="2"/>
  <c r="U276" i="2"/>
  <c r="U532" i="2"/>
  <c r="U489" i="2"/>
  <c r="U636" i="2"/>
  <c r="U718" i="2"/>
  <c r="U118" i="2"/>
  <c r="U550" i="2"/>
  <c r="U638" i="2"/>
  <c r="U635" i="2"/>
  <c r="U787" i="2"/>
  <c r="U50" i="2"/>
  <c r="U593" i="2"/>
  <c r="U184" i="2"/>
  <c r="U608" i="2"/>
  <c r="U313" i="2"/>
  <c r="U293" i="2"/>
  <c r="U592" i="2"/>
  <c r="U597" i="2"/>
  <c r="U604" i="2"/>
  <c r="U186" i="2"/>
  <c r="U245" i="2"/>
  <c r="U207" i="2"/>
  <c r="U673" i="2"/>
  <c r="U98" i="2"/>
  <c r="U679" i="2"/>
  <c r="U267" i="2"/>
  <c r="U452" i="2"/>
  <c r="U383" i="2"/>
  <c r="U62" i="2"/>
  <c r="U755" i="2"/>
  <c r="U871" i="2"/>
  <c r="U343" i="2"/>
  <c r="U600" i="2"/>
  <c r="U73" i="2"/>
  <c r="U547" i="2"/>
  <c r="U661" i="2"/>
  <c r="U629" i="2"/>
  <c r="U181" i="2"/>
  <c r="U407" i="2"/>
  <c r="U760" i="2"/>
  <c r="U222" i="2"/>
  <c r="U664" i="2"/>
  <c r="U400" i="2"/>
  <c r="U16" i="2"/>
  <c r="U574" i="2"/>
  <c r="U704" i="2"/>
  <c r="U132" i="2"/>
  <c r="U324" i="2"/>
  <c r="U792" i="2"/>
  <c r="U3" i="2"/>
  <c r="U627" i="2"/>
  <c r="U285" i="2"/>
  <c r="U76" i="2"/>
  <c r="U349" i="2"/>
  <c r="U733" i="2"/>
  <c r="U466" i="2"/>
  <c r="U41" i="2"/>
  <c r="U525" i="2"/>
  <c r="U244" i="2"/>
  <c r="U670" i="2"/>
  <c r="U722" i="2"/>
  <c r="U766" i="2"/>
  <c r="U355" i="2"/>
  <c r="U610" i="2"/>
  <c r="U438" i="2"/>
  <c r="U805" i="2"/>
  <c r="U328" i="2"/>
  <c r="U237" i="2"/>
  <c r="U758" i="2"/>
  <c r="U885" i="2"/>
  <c r="U555" i="2"/>
  <c r="U298" i="2"/>
  <c r="U782" i="2"/>
  <c r="U43" i="2"/>
  <c r="U509" i="2"/>
  <c r="U386" i="2"/>
  <c r="U877" i="2"/>
  <c r="U109" i="2"/>
  <c r="U441" i="2"/>
  <c r="U726" i="2"/>
  <c r="U519" i="2"/>
  <c r="U18" i="2"/>
  <c r="U795" i="2"/>
  <c r="U842" i="2"/>
  <c r="U803" i="2"/>
  <c r="U594" i="2"/>
  <c r="U108" i="2"/>
  <c r="U422" i="2"/>
  <c r="U278" i="2"/>
  <c r="U447" i="2"/>
  <c r="U472" i="2"/>
  <c r="U263" i="2"/>
  <c r="U335" i="2"/>
  <c r="U531" i="2"/>
  <c r="U213" i="2"/>
  <c r="U254" i="2"/>
  <c r="U682" i="2"/>
  <c r="U513" i="2"/>
  <c r="U878" i="2"/>
  <c r="U838" i="2"/>
  <c r="U526" i="2"/>
  <c r="U467" i="2"/>
  <c r="U861" i="2"/>
  <c r="U620" i="2"/>
  <c r="U344" i="2"/>
  <c r="U419" i="2"/>
  <c r="U287" i="2"/>
  <c r="U888" i="2"/>
  <c r="U614" i="2"/>
  <c r="U752" i="2"/>
  <c r="U409" i="2"/>
  <c r="U243" i="2"/>
  <c r="U174" i="2"/>
  <c r="U430" i="2"/>
  <c r="U800" i="2"/>
  <c r="U770" i="2"/>
  <c r="U846" i="2"/>
  <c r="U506" i="2"/>
  <c r="U161" i="2"/>
  <c r="U624" i="2"/>
  <c r="U821" i="2"/>
  <c r="U694" i="2"/>
  <c r="U304" i="2"/>
  <c r="U830" i="2"/>
  <c r="U523" i="2"/>
  <c r="U327" i="2"/>
  <c r="U528" i="2"/>
  <c r="U606" i="2"/>
  <c r="U224" i="2"/>
  <c r="U728" i="2"/>
  <c r="U468" i="2"/>
  <c r="U847" i="2"/>
  <c r="U365" i="2"/>
  <c r="U288" i="2"/>
  <c r="U486" i="2"/>
  <c r="U171" i="2"/>
  <c r="U689" i="2"/>
  <c r="U820" i="2"/>
  <c r="U843" i="2"/>
  <c r="U905" i="2"/>
  <c r="U393" i="2"/>
  <c r="U88" i="2"/>
  <c r="U880" i="2"/>
  <c r="U903" i="2"/>
  <c r="U128" i="2"/>
  <c r="U505" i="2"/>
  <c r="U630" i="2"/>
  <c r="U917" i="2"/>
  <c r="U272" i="2"/>
  <c r="U435" i="2"/>
  <c r="U105" i="2"/>
  <c r="U477" i="2"/>
  <c r="U563" i="2"/>
  <c r="U39" i="2"/>
  <c r="U21" i="2"/>
  <c r="U693" i="2"/>
  <c r="U910" i="2"/>
  <c r="U652" i="2"/>
  <c r="U715" i="2"/>
  <c r="U677" i="2"/>
  <c r="U11" i="2"/>
  <c r="U473" i="2"/>
  <c r="U714" i="2"/>
  <c r="U796" i="2"/>
  <c r="U221" i="2"/>
  <c r="U481" i="2"/>
  <c r="U862" i="2"/>
  <c r="U24" i="2"/>
  <c r="U361" i="2"/>
  <c r="U371" i="2"/>
  <c r="U346" i="2"/>
  <c r="U666" i="2"/>
  <c r="U841" i="2"/>
  <c r="U731" i="2"/>
  <c r="U434" i="2"/>
  <c r="U713" i="2"/>
  <c r="U189" i="2"/>
  <c r="U373" i="2"/>
  <c r="U678" i="2"/>
  <c r="U892" i="2"/>
  <c r="U829" i="2"/>
  <c r="U196" i="2"/>
  <c r="U865" i="2"/>
  <c r="U647" i="2"/>
  <c r="U491" i="2"/>
  <c r="U875" i="2"/>
  <c r="U788" i="2"/>
  <c r="U560" i="2"/>
  <c r="U536" i="2"/>
  <c r="U246" i="2"/>
  <c r="U628" i="2"/>
  <c r="U318" i="2"/>
  <c r="U305" i="2"/>
  <c r="U414" i="2"/>
  <c r="U637" i="2"/>
  <c r="U790" i="2"/>
  <c r="U784" i="2"/>
  <c r="U551" i="2"/>
  <c r="U437" i="2"/>
  <c r="U772" i="2"/>
  <c r="U49" i="2"/>
  <c r="U546" i="2"/>
  <c r="U535" i="2"/>
  <c r="U453" i="2"/>
  <c r="U351" i="2"/>
  <c r="U738" i="2"/>
  <c r="U302" i="2"/>
  <c r="U451" i="2"/>
  <c r="U617" i="2"/>
  <c r="U719" i="2"/>
  <c r="U587" i="2"/>
  <c r="U707" i="2"/>
  <c r="U390" i="2"/>
  <c r="U583" i="2"/>
  <c r="U495" i="2"/>
  <c r="U695" i="2"/>
  <c r="U187" i="2"/>
  <c r="U589" i="2"/>
  <c r="U739" i="2"/>
  <c r="U56" i="2"/>
  <c r="U783" i="2"/>
  <c r="U540" i="2"/>
  <c r="U197" i="2"/>
  <c r="U301" i="2"/>
  <c r="U641" i="2"/>
  <c r="U911" i="2"/>
  <c r="U819" i="2"/>
  <c r="U253" i="2"/>
  <c r="U33" i="2"/>
  <c r="U216" i="2"/>
  <c r="U623" i="2"/>
  <c r="U310" i="2"/>
  <c r="U672" i="2"/>
  <c r="U469" i="2"/>
  <c r="U421" i="2"/>
  <c r="U504" i="2"/>
  <c r="U864" i="2"/>
  <c r="U217" i="2"/>
  <c r="U372" i="2"/>
  <c r="U808" i="2"/>
  <c r="U91" i="2"/>
  <c r="U723" i="2"/>
  <c r="U104" i="2"/>
  <c r="U218" i="2"/>
  <c r="U403" i="2"/>
  <c r="U454" i="2"/>
  <c r="U380" i="2"/>
  <c r="U557" i="2"/>
  <c r="U55" i="2"/>
  <c r="U131" i="2"/>
  <c r="U195" i="2"/>
  <c r="U533" i="2"/>
  <c r="U611" i="2"/>
  <c r="U258" i="2"/>
  <c r="U896" i="2"/>
  <c r="U656" i="2"/>
  <c r="U144" i="2"/>
  <c r="U598" i="2"/>
  <c r="U234" i="2"/>
  <c r="U476" i="2"/>
  <c r="U412" i="2"/>
  <c r="U235" i="2"/>
  <c r="U194" i="2"/>
  <c r="U785" i="2"/>
  <c r="U470" i="2"/>
  <c r="U385" i="2"/>
  <c r="U411" i="2"/>
  <c r="U8" i="2"/>
  <c r="U424" i="2"/>
  <c r="U904" i="2"/>
  <c r="U173" i="2"/>
  <c r="U900" i="2"/>
  <c r="U240" i="2"/>
  <c r="U30" i="2"/>
  <c r="U232" i="2"/>
  <c r="U333" i="2"/>
  <c r="U303" i="2"/>
  <c r="U169" i="2"/>
  <c r="U432" i="2"/>
  <c r="U786" i="2"/>
  <c r="U429" i="2"/>
  <c r="U359" i="2"/>
  <c r="U568" i="2"/>
  <c r="U462" i="2"/>
  <c r="U496" i="2"/>
  <c r="U17" i="2"/>
  <c r="U126" i="2"/>
  <c r="U562" i="2"/>
  <c r="U747" i="2"/>
  <c r="U622" i="2"/>
  <c r="U866" i="2"/>
  <c r="U238" i="2"/>
  <c r="U72" i="2"/>
  <c r="U510" i="2"/>
  <c r="U895" i="2"/>
  <c r="U61" i="2"/>
  <c r="U395" i="2"/>
  <c r="U158" i="2"/>
  <c r="U457" i="2"/>
  <c r="U549" i="2"/>
  <c r="U353" i="2"/>
  <c r="U690" i="2"/>
  <c r="U683" i="2"/>
  <c r="U394" i="2"/>
  <c r="U811" i="2"/>
  <c r="U71" i="2"/>
  <c r="U270" i="2"/>
  <c r="U810" i="2"/>
  <c r="U534" i="2"/>
  <c r="U266" i="2"/>
  <c r="U391" i="2"/>
  <c r="U281" i="2"/>
  <c r="U901" i="2"/>
  <c r="U887" i="2"/>
  <c r="U2" i="2"/>
  <c r="U79" i="2"/>
  <c r="U658" i="2"/>
  <c r="U198" i="2"/>
  <c r="U413" i="2"/>
  <c r="U292" i="2"/>
  <c r="U163" i="2"/>
  <c r="U146" i="2"/>
  <c r="U151" i="2"/>
  <c r="U341" i="2"/>
  <c r="U564" i="2"/>
  <c r="U212" i="2"/>
  <c r="U294" i="2"/>
  <c r="U848" i="2"/>
  <c r="U802" i="2"/>
  <c r="U822" i="2"/>
  <c r="U891" i="2"/>
  <c r="U541" i="2"/>
  <c r="U90" i="2"/>
  <c r="U289" i="2"/>
  <c r="U857" i="2"/>
  <c r="U148" i="2"/>
  <c r="U665" i="2"/>
  <c r="U744" i="2"/>
  <c r="U609" i="2"/>
  <c r="U804" i="2"/>
  <c r="U599" i="2"/>
  <c r="U602" i="2"/>
  <c r="U809" i="2"/>
  <c r="U696" i="2"/>
  <c r="U806" i="2"/>
  <c r="U103" i="2"/>
  <c r="U226" i="2"/>
  <c r="U837" i="2"/>
  <c r="U516" i="2"/>
  <c r="U311" i="2"/>
  <c r="U474" i="2"/>
  <c r="U663" i="2"/>
  <c r="U247" i="2"/>
  <c r="U748" i="2"/>
  <c r="U69" i="2"/>
  <c r="U215" i="2"/>
  <c r="V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Gardner</author>
  </authors>
  <commentList>
    <comment ref="O5" authorId="0" shapeId="0" xr:uid="{4C8B4406-0716-4FCA-B18F-55B3C4F03E8C}">
      <text>
        <r>
          <rPr>
            <sz val="9"/>
            <color indexed="81"/>
            <rFont val="Tahoma"/>
            <family val="2"/>
          </rPr>
          <t xml:space="preserve">Solo practitioners with </t>
        </r>
        <r>
          <rPr>
            <i/>
            <sz val="9"/>
            <color indexed="81"/>
            <rFont val="Tahoma"/>
            <family val="2"/>
          </rPr>
          <t>only</t>
        </r>
        <r>
          <rPr>
            <sz val="9"/>
            <color indexed="81"/>
            <rFont val="Tahoma"/>
            <family val="2"/>
          </rPr>
          <t xml:space="preserve"> a Type 1 NPI should indicate Solo Practitioner. Group practices with a Type 2 NPI should indicate Group Practice.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<sst xmlns="http://schemas.openxmlformats.org/spreadsheetml/2006/main" count="15891" uniqueCount="3302">
  <si>
    <t>LIST OF AFFILIATED PROVIDERS (LOAP)</t>
  </si>
  <si>
    <t xml:space="preserve"> *** Only one billing/group TIN and NPI can be submitted per L.O.A.P. Please create a new tab for each TIN/billing NPI combination ***</t>
  </si>
  <si>
    <t>ALL FIELDS HIGHLIGHTED IN RED ARE REQUIRED. PLEASE COMPLETE ALL REQUIRED FIELDS TO PREVENT DELAYS IN PROCESSING YOUR ENROLLMENT REQUEST.</t>
  </si>
  <si>
    <t>Last Updated: 2/13/2024</t>
  </si>
  <si>
    <t xml:space="preserve">Practice Information </t>
  </si>
  <si>
    <t>Legal Name of Contracted Group</t>
  </si>
  <si>
    <t>Federal Tax ID</t>
  </si>
  <si>
    <t>Group/Billing NPI</t>
  </si>
  <si>
    <t>Group Type</t>
  </si>
  <si>
    <t>Is this a Hospitalist-only group?</t>
  </si>
  <si>
    <t>Group/Individual Medicaid ID</t>
  </si>
  <si>
    <t>Group/Individual 
Medicare ID</t>
  </si>
  <si>
    <t>Group/Individual
Taxonomy Code</t>
  </si>
  <si>
    <r>
      <t xml:space="preserve">Complete Billing Address
(Address, City, State, Zip)
</t>
    </r>
    <r>
      <rPr>
        <sz val="8"/>
        <color theme="0"/>
        <rFont val="Arial"/>
        <family val="2"/>
      </rPr>
      <t>The W-9 submitted must match this address.</t>
    </r>
  </si>
  <si>
    <t>Credentialing Contact or Office Manager Name</t>
  </si>
  <si>
    <r>
      <t xml:space="preserve">Public-Facing Email Address
</t>
    </r>
    <r>
      <rPr>
        <sz val="8"/>
        <color theme="0"/>
        <rFont val="Arial"/>
        <family val="2"/>
      </rPr>
      <t>Also utilized to send correspondence and health plan news.</t>
    </r>
  </si>
  <si>
    <t xml:space="preserve">Credentialing Staff Email 
(if different) </t>
  </si>
  <si>
    <t xml:space="preserve">Contact Phone Number </t>
  </si>
  <si>
    <t xml:space="preserve">Contact Fax Number </t>
  </si>
  <si>
    <t>Selection Required</t>
  </si>
  <si>
    <t xml:space="preserve">Practice/Service Locations (List All)  </t>
  </si>
  <si>
    <t>Location ID</t>
  </si>
  <si>
    <r>
      <rPr>
        <b/>
        <sz val="10"/>
        <color theme="1"/>
        <rFont val="Arial"/>
        <family val="2"/>
      </rPr>
      <t>Location Name to Display in Directory</t>
    </r>
    <r>
      <rPr>
        <b/>
        <sz val="11"/>
        <color theme="1"/>
        <rFont val="Arial"/>
        <family val="2"/>
      </rPr>
      <t xml:space="preserve">
</t>
    </r>
    <r>
      <rPr>
        <sz val="9"/>
        <color theme="0"/>
        <rFont val="Arial"/>
        <family val="2"/>
      </rPr>
      <t xml:space="preserve">Please ensure that </t>
    </r>
    <r>
      <rPr>
        <u/>
        <sz val="9"/>
        <color theme="0"/>
        <rFont val="Arial"/>
        <family val="2"/>
      </rPr>
      <t>each</t>
    </r>
    <r>
      <rPr>
        <sz val="9"/>
        <color theme="0"/>
        <rFont val="Arial"/>
        <family val="2"/>
      </rPr>
      <t xml:space="preserve"> service location is registered on AHCA's Provider Master List (PML) for the Medicaid lines of business.</t>
    </r>
    <r>
      <rPr>
        <b/>
        <sz val="11"/>
        <color theme="1"/>
        <rFont val="Arial"/>
        <family val="2"/>
      </rPr>
      <t xml:space="preserve">
Insert additional lines below as needed if listing more than 5 locations</t>
    </r>
  </si>
  <si>
    <t xml:space="preserve">Street Address </t>
  </si>
  <si>
    <t>City</t>
  </si>
  <si>
    <t>State</t>
  </si>
  <si>
    <t>Zip</t>
  </si>
  <si>
    <t>County</t>
  </si>
  <si>
    <t>Address Type</t>
  </si>
  <si>
    <t>Location Phone Number</t>
  </si>
  <si>
    <t>Location Fax Number</t>
  </si>
  <si>
    <t xml:space="preserve">Hours of Operation </t>
  </si>
  <si>
    <r>
      <t xml:space="preserve">After Hours Availability 
</t>
    </r>
    <r>
      <rPr>
        <sz val="9"/>
        <color theme="0"/>
        <rFont val="Arial"/>
        <family val="2"/>
      </rPr>
      <t xml:space="preserve">List Office Hours </t>
    </r>
    <r>
      <rPr>
        <u/>
        <sz val="9"/>
        <color theme="0"/>
        <rFont val="Arial"/>
        <family val="2"/>
      </rPr>
      <t>Outside</t>
    </r>
    <r>
      <rPr>
        <sz val="9"/>
        <color theme="0"/>
        <rFont val="Arial"/>
        <family val="2"/>
      </rPr>
      <t xml:space="preserve"> of 8A-5P Only</t>
    </r>
  </si>
  <si>
    <r>
      <t xml:space="preserve">Service Location NPI 
(Not used for billing) 
</t>
    </r>
    <r>
      <rPr>
        <sz val="9"/>
        <color rgb="FFFF0000"/>
        <rFont val="Arial"/>
        <family val="2"/>
      </rPr>
      <t>This will be used for Credentialing purposes only</t>
    </r>
  </si>
  <si>
    <r>
      <t xml:space="preserve">Contracted Products
</t>
    </r>
    <r>
      <rPr>
        <sz val="9"/>
        <color rgb="FFFF0000"/>
        <rFont val="Arial"/>
        <family val="2"/>
      </rPr>
      <t>Please indicate below the products in which you hold an executed contract. Note, this is not a guarantee for participation as the Health Plan will review eligibility, credentialing status, and contracted products prior to loading.</t>
    </r>
  </si>
  <si>
    <t>A</t>
  </si>
  <si>
    <t>MMA - Medicaid</t>
  </si>
  <si>
    <t>Medicare - WellCare</t>
  </si>
  <si>
    <t>B</t>
  </si>
  <si>
    <t>MMA - Children's Medical Services</t>
  </si>
  <si>
    <t>Medicare - WellCare Complete</t>
  </si>
  <si>
    <t>C</t>
  </si>
  <si>
    <t>MMA - Child Welfare Specialty Plan</t>
  </si>
  <si>
    <t>Commercial Exchange - Ambetter</t>
  </si>
  <si>
    <t>D</t>
  </si>
  <si>
    <t>MMA - Serious Mental Illness</t>
  </si>
  <si>
    <t>Commercial Exchange - Select</t>
  </si>
  <si>
    <t>E</t>
  </si>
  <si>
    <t>MMA - Long Term Care</t>
  </si>
  <si>
    <t>Commercial Exchange - Value</t>
  </si>
  <si>
    <r>
      <t xml:space="preserve">Physician Listing:  New Contracts- Please list </t>
    </r>
    <r>
      <rPr>
        <b/>
        <sz val="11"/>
        <color rgb="FFFF0000"/>
        <rFont val="Arial"/>
        <family val="2"/>
      </rPr>
      <t>ALL</t>
    </r>
    <r>
      <rPr>
        <b/>
        <sz val="11"/>
        <color theme="1"/>
        <rFont val="Arial"/>
        <family val="2"/>
      </rPr>
      <t xml:space="preserve"> practicing physicians |  Adding to an Exisiting Group:  Please list the names of the </t>
    </r>
    <r>
      <rPr>
        <b/>
        <sz val="11"/>
        <color rgb="FFFF0000"/>
        <rFont val="Arial"/>
        <family val="2"/>
      </rPr>
      <t>NEW</t>
    </r>
    <r>
      <rPr>
        <b/>
        <sz val="11"/>
        <color theme="1"/>
        <rFont val="Arial"/>
        <family val="2"/>
      </rPr>
      <t xml:space="preserve"> physicians only</t>
    </r>
  </si>
  <si>
    <t>If APRN must include APRN Protocol</t>
  </si>
  <si>
    <t xml:space="preserve">Required to be enrolled in Medicaid/Medicare Products </t>
  </si>
  <si>
    <r>
      <t xml:space="preserve">Use Location IDs from Column A Above
</t>
    </r>
    <r>
      <rPr>
        <b/>
        <u/>
        <sz val="10"/>
        <color rgb="FFFF0000"/>
        <rFont val="Arial"/>
        <family val="2"/>
      </rPr>
      <t xml:space="preserve">A Maximum of 5 locations per Practitioner can print in directory </t>
    </r>
  </si>
  <si>
    <t xml:space="preserve">** if no hospital privileges, must submit "intent to use hospitalist" form </t>
  </si>
  <si>
    <t>Florida Medical Web Portal</t>
  </si>
  <si>
    <t>Name of Practitioner
(Last Name, First Name)</t>
  </si>
  <si>
    <t>Practitioner Gender</t>
  </si>
  <si>
    <t>DOB</t>
  </si>
  <si>
    <r>
      <t xml:space="preserve">SSN
</t>
    </r>
    <r>
      <rPr>
        <sz val="8"/>
        <color rgb="FFFF0000"/>
        <rFont val="Arial"/>
        <family val="2"/>
      </rPr>
      <t xml:space="preserve">This data </t>
    </r>
    <r>
      <rPr>
        <b/>
        <sz val="8"/>
        <color rgb="FFFF0000"/>
        <rFont val="Arial"/>
        <family val="2"/>
      </rPr>
      <t>will not</t>
    </r>
    <r>
      <rPr>
        <sz val="8"/>
        <color rgb="FFFF0000"/>
        <rFont val="Arial"/>
        <family val="2"/>
      </rPr>
      <t xml:space="preserve"> be displayed in the directory. Used for reporting purposes only.</t>
    </r>
  </si>
  <si>
    <t>Degree Code</t>
  </si>
  <si>
    <t>CAQH ID</t>
  </si>
  <si>
    <t xml:space="preserve">Practitioner NPI </t>
  </si>
  <si>
    <r>
      <t xml:space="preserve">Practitioner Ethnicity
</t>
    </r>
    <r>
      <rPr>
        <sz val="8"/>
        <color theme="0"/>
        <rFont val="Arial"/>
        <family val="2"/>
      </rPr>
      <t>This data will NOT be displayed in the directory. Used for reporting purposes only.</t>
    </r>
  </si>
  <si>
    <t>Florida Medical License Number</t>
  </si>
  <si>
    <r>
      <t xml:space="preserve">DEA License Number
</t>
    </r>
    <r>
      <rPr>
        <sz val="8"/>
        <color theme="0"/>
        <rFont val="Arial"/>
        <family val="2"/>
      </rPr>
      <t>Only enter if applicable</t>
    </r>
  </si>
  <si>
    <r>
      <t xml:space="preserve">Secondary Language Spoken
</t>
    </r>
    <r>
      <rPr>
        <sz val="8"/>
        <color theme="0"/>
        <rFont val="Arial"/>
        <family val="2"/>
      </rPr>
      <t>Do not include English</t>
    </r>
  </si>
  <si>
    <r>
      <t xml:space="preserve">Tertiary Language Spoken
</t>
    </r>
    <r>
      <rPr>
        <sz val="8"/>
        <color theme="0"/>
        <rFont val="Arial"/>
        <family val="2"/>
      </rPr>
      <t>Do not include English</t>
    </r>
  </si>
  <si>
    <t>Active Practitoner Medicaid ID</t>
  </si>
  <si>
    <t xml:space="preserve">Active Practitioner Medicare ID </t>
  </si>
  <si>
    <t>Serves as PCP?
(Y/N)</t>
  </si>
  <si>
    <r>
      <t xml:space="preserve">Primary </t>
    </r>
    <r>
      <rPr>
        <b/>
        <u/>
        <sz val="11"/>
        <color theme="1"/>
        <rFont val="Arial"/>
        <family val="2"/>
      </rPr>
      <t>Practicing</t>
    </r>
    <r>
      <rPr>
        <b/>
        <sz val="11"/>
        <color theme="1"/>
        <rFont val="Arial"/>
        <family val="2"/>
      </rPr>
      <t xml:space="preserve">Taxonomy Code 
(as listed on AHCA PML if loading for Medicaid)
</t>
    </r>
    <r>
      <rPr>
        <b/>
        <sz val="11"/>
        <color theme="0"/>
        <rFont val="Arial"/>
        <family val="2"/>
      </rPr>
      <t xml:space="preserve">(Medicaid practitioners will </t>
    </r>
    <r>
      <rPr>
        <b/>
        <u/>
        <sz val="11"/>
        <color theme="0"/>
        <rFont val="Arial"/>
        <family val="2"/>
      </rPr>
      <t>only</t>
    </r>
    <r>
      <rPr>
        <b/>
        <sz val="11"/>
        <color theme="0"/>
        <rFont val="Arial"/>
        <family val="2"/>
      </rPr>
      <t xml:space="preserve"> be loaded with taxonomy code(s) found on the PML. The provider type and specialty code on the PML MUST match the TML.</t>
    </r>
  </si>
  <si>
    <r>
      <t xml:space="preserve">AHCA Provider Type
</t>
    </r>
    <r>
      <rPr>
        <sz val="8"/>
        <color theme="0"/>
        <rFont val="Arial"/>
        <family val="2"/>
      </rPr>
      <t xml:space="preserve">Provider </t>
    </r>
    <r>
      <rPr>
        <u/>
        <sz val="8"/>
        <color theme="0"/>
        <rFont val="Arial"/>
        <family val="2"/>
      </rPr>
      <t>must</t>
    </r>
    <r>
      <rPr>
        <sz val="8"/>
        <color theme="0"/>
        <rFont val="Arial"/>
        <family val="2"/>
      </rPr>
      <t xml:space="preserve"> be enrolled on the PML using any of these eligible Provider Types</t>
    </r>
  </si>
  <si>
    <r>
      <t xml:space="preserve">AHCA Specialty Code
</t>
    </r>
    <r>
      <rPr>
        <sz val="8"/>
        <color theme="0"/>
        <rFont val="Arial"/>
        <family val="2"/>
      </rPr>
      <t xml:space="preserve">Provider </t>
    </r>
    <r>
      <rPr>
        <u/>
        <sz val="8"/>
        <color theme="0"/>
        <rFont val="Arial"/>
        <family val="2"/>
      </rPr>
      <t>must</t>
    </r>
    <r>
      <rPr>
        <sz val="8"/>
        <color theme="0"/>
        <rFont val="Arial"/>
        <family val="2"/>
      </rPr>
      <t xml:space="preserve"> be enrolled on the PML using any of these eligible Specialty Codes</t>
    </r>
  </si>
  <si>
    <t>Telemedicine Provider (Y/N) &amp; Eff Date</t>
  </si>
  <si>
    <t>Primary Location ID</t>
  </si>
  <si>
    <t>List Primary Location in Directory (Y/N)</t>
  </si>
  <si>
    <t>Accepting New Patients?
(Y/N)</t>
  </si>
  <si>
    <t>Additional Locations to be listed in directory</t>
  </si>
  <si>
    <r>
      <t xml:space="preserve">Additional Locations to be loaded but </t>
    </r>
    <r>
      <rPr>
        <b/>
        <sz val="11"/>
        <color rgb="FFFF0000"/>
        <rFont val="Arial"/>
        <family val="2"/>
      </rPr>
      <t>NOT</t>
    </r>
    <r>
      <rPr>
        <b/>
        <sz val="11"/>
        <color theme="1"/>
        <rFont val="Arial"/>
        <family val="2"/>
      </rPr>
      <t xml:space="preserve"> listed in directory</t>
    </r>
  </si>
  <si>
    <t>Patient Age Ranges</t>
  </si>
  <si>
    <t>Hospital Privileges
(list hospital name)</t>
  </si>
  <si>
    <t>Last Name</t>
  </si>
  <si>
    <t>First Name</t>
  </si>
  <si>
    <t>Please include Exp. Date</t>
  </si>
  <si>
    <t>Provider Master List</t>
  </si>
  <si>
    <t>PECOS</t>
  </si>
  <si>
    <t>Enter the Taxonomy Code</t>
  </si>
  <si>
    <t>Specialty Description</t>
  </si>
  <si>
    <t>Only applies to Medicaid enrollment</t>
  </si>
  <si>
    <t>Use the location IDs referenced above</t>
  </si>
  <si>
    <t>The following documents may be needed if credentialing is required for the practitioner's specialty. Be sure to review all applicable requirements with your Contract Negotiator throughout the on-boarding process. Requirements subject to change.</t>
  </si>
  <si>
    <t>Application</t>
  </si>
  <si>
    <r>
      <t xml:space="preserve">Sunshine Health accepts CAQH, Sunshine Health, and WellCare Medicare applications. Sunshine Health must be granted access to the practitioner's CAQH profile. The application must be attested within 180 days.
</t>
    </r>
    <r>
      <rPr>
        <b/>
        <sz val="10"/>
        <color theme="1"/>
        <rFont val="Arial"/>
        <family val="2"/>
      </rPr>
      <t>IMPORTANT NOTES</t>
    </r>
    <r>
      <rPr>
        <sz val="10"/>
        <color theme="1"/>
        <rFont val="Arial"/>
        <family val="2"/>
      </rPr>
      <t xml:space="preserve">
</t>
    </r>
    <r>
      <rPr>
        <sz val="10"/>
        <color theme="1"/>
        <rFont val="Calibri"/>
        <family val="2"/>
      </rPr>
      <t>●</t>
    </r>
    <r>
      <rPr>
        <sz val="10"/>
        <color theme="1"/>
        <rFont val="Arial"/>
        <family val="2"/>
      </rPr>
      <t xml:space="preserve"> Any gaps in employment greater than six (6) months require a written explanation
● The provider's specialty indicated on Page 5 of CAQH should match the specialy indicated on this LOAP document.
● Training/education must be up-to-date in CAQH to avoid delays in the credentialing process. The training must be able to be verified by our CVO.
● Any disclosure question with a "yes" response requires a written explanation
**All supporting documentation such as certificate of insurance and licensure must be attached under the documents section**</t>
    </r>
  </si>
  <si>
    <t>To check if credentialing is required for a specific taxonomy code, enter the taxonomy code here.</t>
  </si>
  <si>
    <t>APRN Protocol</t>
  </si>
  <si>
    <t>This is only required for APRNs, unless the APRN is autonomous. The supervising physician must be participating within our network.</t>
  </si>
  <si>
    <t>BH Practitioner Enrollment</t>
  </si>
  <si>
    <r>
      <t xml:space="preserve">Targeted Case Managers (TCM) require Appendix “E” and/or “F” .  BH APRNs &amp; PAs require a </t>
    </r>
    <r>
      <rPr>
        <b/>
        <sz val="10"/>
        <color theme="1"/>
        <rFont val="Arial"/>
        <family val="2"/>
      </rPr>
      <t>Supervising Physician</t>
    </r>
    <r>
      <rPr>
        <sz val="10"/>
        <color theme="1"/>
        <rFont val="Arial"/>
        <family val="2"/>
      </rPr>
      <t xml:space="preserve"> form.</t>
    </r>
  </si>
  <si>
    <t>Collaborative Agreement</t>
  </si>
  <si>
    <r>
      <t xml:space="preserve">This is only required for Physician Assistants and/or APRNs, as applicable. </t>
    </r>
    <r>
      <rPr>
        <sz val="10"/>
        <color rgb="FFFF0000"/>
        <rFont val="Arial"/>
        <family val="2"/>
      </rPr>
      <t>This document can be submitted in lieu of the APRN protocol for all specialties, excluding Physician Assistants.</t>
    </r>
  </si>
  <si>
    <t>DEA Certificate</t>
  </si>
  <si>
    <r>
      <t xml:space="preserve">Required for all MDs and DOs, including mid-level practitioners that are practing as PCPs. May submit the </t>
    </r>
    <r>
      <rPr>
        <b/>
        <sz val="10"/>
        <color theme="1"/>
        <rFont val="Arial"/>
        <family val="2"/>
      </rPr>
      <t>Designated Alternate Prescribing Practitioner</t>
    </r>
    <r>
      <rPr>
        <sz val="10"/>
        <color theme="1"/>
        <rFont val="Arial"/>
        <family val="2"/>
      </rPr>
      <t xml:space="preserve"> form in lieu of an active DEA certificate.</t>
    </r>
  </si>
  <si>
    <t>Disclosure of Ownership (DOO)</t>
  </si>
  <si>
    <t>Only required at the group/practice level only. One DOO per tax ID number is required and must be submitted annually. If the current DOO on file is expired during practitioner enrollment, a new DOO will be required.</t>
  </si>
  <si>
    <t>Hospital Privileges</t>
  </si>
  <si>
    <r>
      <t xml:space="preserve">All practitioners, including midlevel practitioners who will be practicing as PCPs,  require proof of active hospital privileges or the process in place for admitting our members. Privileges must be included within the CAQH application or submit a </t>
    </r>
    <r>
      <rPr>
        <b/>
        <sz val="10"/>
        <color theme="1"/>
        <rFont val="Arial"/>
        <family val="2"/>
      </rPr>
      <t>Hospitalist Agreement</t>
    </r>
    <r>
      <rPr>
        <sz val="10"/>
        <color theme="1"/>
        <rFont val="Arial"/>
        <family val="2"/>
      </rPr>
      <t xml:space="preserve"> form. A covering Physician letter should be provided if you are designating a specific Provider for admissions. Some exclusions will apply. Be sure to speak with your Contract Negotiator when submitting all required forms.</t>
    </r>
  </si>
  <si>
    <t>Malpractice Insurance</t>
  </si>
  <si>
    <r>
      <t xml:space="preserve">Each practitioner needs to provide proof of Malpractice Insurance coverage with a minimum coverage amount of $250,000 - $750,000 OR a current </t>
    </r>
    <r>
      <rPr>
        <b/>
        <sz val="10"/>
        <color theme="1"/>
        <rFont val="Arial"/>
        <family val="2"/>
      </rPr>
      <t>FL DOH Financial Responsibility</t>
    </r>
    <r>
      <rPr>
        <sz val="10"/>
        <color theme="1"/>
        <rFont val="Arial"/>
        <family val="2"/>
      </rPr>
      <t xml:space="preserve"> form.
**If there is any malpractice history, a Malpractice History Form must be completed.**</t>
    </r>
  </si>
  <si>
    <t>Site Visit</t>
  </si>
  <si>
    <t>Required for PCPs &amp; OB/GYN only. Only required if a previous site visit has not been performed within 3 years.</t>
  </si>
  <si>
    <t>Total Patient Attestation Load (TPAL)</t>
  </si>
  <si>
    <t>This is only required for PCPs, including APRNs and PAs rendering services as PCPs.</t>
  </si>
  <si>
    <t>W-9</t>
  </si>
  <si>
    <t>Should be submitted with a signed date within the last 12 months</t>
  </si>
  <si>
    <t>*TAXONOMY</t>
  </si>
  <si>
    <t>*SPECIALTY</t>
  </si>
  <si>
    <t>*CRED REQ</t>
  </si>
  <si>
    <t>101200000X</t>
  </si>
  <si>
    <t>Drama Therapist</t>
  </si>
  <si>
    <t xml:space="preserve">Credentialing Required  </t>
  </si>
  <si>
    <t>101Y00000X</t>
  </si>
  <si>
    <t>Counselor</t>
  </si>
  <si>
    <t>101YA0400X</t>
  </si>
  <si>
    <t>Counselor: Addiction (Substance Use Disorder)</t>
  </si>
  <si>
    <t>101YM0800X</t>
  </si>
  <si>
    <t>Counselor: Mental Health</t>
  </si>
  <si>
    <t>101YP1600X</t>
  </si>
  <si>
    <t>Counselor: Pastoral</t>
  </si>
  <si>
    <t>101YP2500X</t>
  </si>
  <si>
    <t>Counselor: Professional</t>
  </si>
  <si>
    <t>101YS0200X</t>
  </si>
  <si>
    <t>Counselor: School</t>
  </si>
  <si>
    <t>102L00000X</t>
  </si>
  <si>
    <t>Psychoanalyst</t>
  </si>
  <si>
    <t>102X00000X</t>
  </si>
  <si>
    <t>Poetry Therapist</t>
  </si>
  <si>
    <t>Credentialing Not Required</t>
  </si>
  <si>
    <t>103G00000X</t>
  </si>
  <si>
    <t>Clinical Neuropsychologist</t>
  </si>
  <si>
    <t>103GC0700X</t>
  </si>
  <si>
    <t>Clinical Neuropsychologist: Clinical</t>
  </si>
  <si>
    <t>103K00000X</t>
  </si>
  <si>
    <t>Behavioral Analyst</t>
  </si>
  <si>
    <t>103T00000X</t>
  </si>
  <si>
    <t>Psychologist</t>
  </si>
  <si>
    <t>103TA0400X</t>
  </si>
  <si>
    <t>Psychologist: Addiction (Substance Use Disorder)</t>
  </si>
  <si>
    <t>103TA0700X</t>
  </si>
  <si>
    <t>Psychologist: Adult Development &amp; Aging</t>
  </si>
  <si>
    <t>103TB0200X</t>
  </si>
  <si>
    <t>Psychologist: Cognitive &amp; Behavioral</t>
  </si>
  <si>
    <t>103TC0700X</t>
  </si>
  <si>
    <t>Psychologist: Clinical</t>
  </si>
  <si>
    <t>103TC1900X</t>
  </si>
  <si>
    <t>Psychologist: Counseling</t>
  </si>
  <si>
    <t>103TC2200X</t>
  </si>
  <si>
    <t>Psychologist: Clinical Child &amp; Adolescent</t>
  </si>
  <si>
    <t>103TE1000X</t>
  </si>
  <si>
    <t>Psychologist: Educational</t>
  </si>
  <si>
    <t>103TE1100X</t>
  </si>
  <si>
    <t>Psychologist: Exercise &amp; Sports</t>
  </si>
  <si>
    <t>103TF0000X</t>
  </si>
  <si>
    <t>Psychologist: Family</t>
  </si>
  <si>
    <t>103TF0200X</t>
  </si>
  <si>
    <t>Psychologist: Forensic</t>
  </si>
  <si>
    <t>103TH0004X</t>
  </si>
  <si>
    <t>Psychologist: Health</t>
  </si>
  <si>
    <t>103TH0100X</t>
  </si>
  <si>
    <t>Psychologist: Health Service</t>
  </si>
  <si>
    <t>103TM1700X</t>
  </si>
  <si>
    <t>Psychologist: Men &amp; Masculinity</t>
  </si>
  <si>
    <t>103TM1800X</t>
  </si>
  <si>
    <t>Psychologist: Mental Retardation &amp; Developmental Disabilities</t>
  </si>
  <si>
    <t>103TP0016X</t>
  </si>
  <si>
    <t>Psychologist: Prescribing (Medical)</t>
  </si>
  <si>
    <t>103TP0814X</t>
  </si>
  <si>
    <t>Psychologist: Psychoanalysis</t>
  </si>
  <si>
    <t>103TP2700X</t>
  </si>
  <si>
    <t>Psychologist: Psychotherapy</t>
  </si>
  <si>
    <t>103TP2701X</t>
  </si>
  <si>
    <t>Psychologist: Group Psychotherapy</t>
  </si>
  <si>
    <t>103TR0400X</t>
  </si>
  <si>
    <t>Psychologist: Rehabilitation</t>
  </si>
  <si>
    <t>103TS0200X</t>
  </si>
  <si>
    <t>Psychologist: School</t>
  </si>
  <si>
    <t>103TW0100X</t>
  </si>
  <si>
    <t>Psychologist: Women</t>
  </si>
  <si>
    <t>104100000X</t>
  </si>
  <si>
    <t>Social Worker</t>
  </si>
  <si>
    <t>1041C0700X</t>
  </si>
  <si>
    <t>Social Worker: Clinical</t>
  </si>
  <si>
    <t>1041S0200X</t>
  </si>
  <si>
    <t>Social Worker: School</t>
  </si>
  <si>
    <t>106E00000X</t>
  </si>
  <si>
    <t>Assistant Behavior Analyst</t>
  </si>
  <si>
    <t>106H00000X</t>
  </si>
  <si>
    <t>Marriage &amp; Family Therapist</t>
  </si>
  <si>
    <t>106S00000X</t>
  </si>
  <si>
    <t>Behavior Technician</t>
  </si>
  <si>
    <t>111N00000X</t>
  </si>
  <si>
    <t>Chiropractor</t>
  </si>
  <si>
    <t>111NI0013X</t>
  </si>
  <si>
    <t>Chiropractor: Independent Medical Examiner</t>
  </si>
  <si>
    <t>111NI0900X</t>
  </si>
  <si>
    <t>Chiropractor: Internist</t>
  </si>
  <si>
    <t>111NN0400X</t>
  </si>
  <si>
    <t>Chiropractor: Neurology</t>
  </si>
  <si>
    <t>111NN1001X</t>
  </si>
  <si>
    <t>Chiropractor: Nutrition</t>
  </si>
  <si>
    <t>111NP0017X</t>
  </si>
  <si>
    <t>Chiropractor: Pediatric Chiropractor</t>
  </si>
  <si>
    <t>111NR0200X</t>
  </si>
  <si>
    <t>Chiropractor: Radiology</t>
  </si>
  <si>
    <t>111NR0400X</t>
  </si>
  <si>
    <t>Chiropractor: Rehabilitation</t>
  </si>
  <si>
    <t>111NS0005X</t>
  </si>
  <si>
    <t>Chiropractor: Sports Physician</t>
  </si>
  <si>
    <t>111NT0100X</t>
  </si>
  <si>
    <t>Chiropractor: Thermography</t>
  </si>
  <si>
    <t>111NX0100X</t>
  </si>
  <si>
    <t>Chiropractor: Occupational Medicine</t>
  </si>
  <si>
    <t>111NX0800X</t>
  </si>
  <si>
    <t>Chiropractor: Orthopedic</t>
  </si>
  <si>
    <t>122300000X</t>
  </si>
  <si>
    <t>Dentist</t>
  </si>
  <si>
    <t>1223D0001X</t>
  </si>
  <si>
    <t>Dentist: Dental Public Health</t>
  </si>
  <si>
    <t>1223D0004X</t>
  </si>
  <si>
    <t>Dentist: Dentist Anesthesiologist</t>
  </si>
  <si>
    <t>Specialty Ineligible for Enrollment</t>
  </si>
  <si>
    <t>1223E0200X</t>
  </si>
  <si>
    <t>Dentist: Endodontics</t>
  </si>
  <si>
    <t>1223G0001X</t>
  </si>
  <si>
    <t>Dentist: General Practice</t>
  </si>
  <si>
    <t>1223P0106X</t>
  </si>
  <si>
    <t>Dentist: Oral and Maxillofacial Pathology</t>
  </si>
  <si>
    <t>1223P0221X</t>
  </si>
  <si>
    <t>Dentist: Pediatric Dentistry</t>
  </si>
  <si>
    <t>1223P0300X</t>
  </si>
  <si>
    <t>Dentist: Periodontics</t>
  </si>
  <si>
    <t>1223P0700X</t>
  </si>
  <si>
    <t>Dentist: Prosthodontics</t>
  </si>
  <si>
    <t>1223S0112X</t>
  </si>
  <si>
    <t>Dentist: Oral and Maxillofacial Surgery</t>
  </si>
  <si>
    <t>1223X0008X</t>
  </si>
  <si>
    <t>Dentist: Oral and Maxillofacial Radiology</t>
  </si>
  <si>
    <t>1223X0400X</t>
  </si>
  <si>
    <t>Dentist: Orthodontics and Dentofacial Orthopedics</t>
  </si>
  <si>
    <t>1223X2210X</t>
  </si>
  <si>
    <t>Dentist: Orofacial Pain</t>
  </si>
  <si>
    <t>122400000X</t>
  </si>
  <si>
    <t>Denturist</t>
  </si>
  <si>
    <t>124Q00000X</t>
  </si>
  <si>
    <t>Dental Hygienist</t>
  </si>
  <si>
    <t>125J00000X</t>
  </si>
  <si>
    <t>Dental Therapist</t>
  </si>
  <si>
    <t>125K00000X</t>
  </si>
  <si>
    <t>Advanced Practice Dental Therapist</t>
  </si>
  <si>
    <t>125Q00000X</t>
  </si>
  <si>
    <t>Oral Medicinist: Dental Providers</t>
  </si>
  <si>
    <t>126800000X</t>
  </si>
  <si>
    <t>Dental Assistant</t>
  </si>
  <si>
    <t>126900000X</t>
  </si>
  <si>
    <t>Dental Laboratory Technician</t>
  </si>
  <si>
    <t>132700000X</t>
  </si>
  <si>
    <t>Dietary Manager</t>
  </si>
  <si>
    <t>133N00000X</t>
  </si>
  <si>
    <t>Nutritionist</t>
  </si>
  <si>
    <t>133NN1002X</t>
  </si>
  <si>
    <t>Nutritionist: Nutrition, Education</t>
  </si>
  <si>
    <t>133V00000X</t>
  </si>
  <si>
    <t>Dietitian, Registered</t>
  </si>
  <si>
    <t>133VN1004X</t>
  </si>
  <si>
    <t>Dietitian, Registered: Nutrition, Pediatric</t>
  </si>
  <si>
    <t>133VN1005X</t>
  </si>
  <si>
    <t>Dietitian, Registered: Nutrition, Renal</t>
  </si>
  <si>
    <t>133VN1006X</t>
  </si>
  <si>
    <t>Dietitian, Registered: Nutrition, Metabolic</t>
  </si>
  <si>
    <t>133VN1101X</t>
  </si>
  <si>
    <t>Dietitian, Registered: Nutrition, Gerontological</t>
  </si>
  <si>
    <t>133VN1201X</t>
  </si>
  <si>
    <t>Dietitian, Registered: Nutrition, Obesity and Weight Management</t>
  </si>
  <si>
    <t>133VN1301X</t>
  </si>
  <si>
    <t>Dietitian, Registered: Nutrition, Oncology</t>
  </si>
  <si>
    <t>133VN1401X</t>
  </si>
  <si>
    <t>Dietitian, Registered: Nutrition, Pediatric Critical Care</t>
  </si>
  <si>
    <t>133VN1501X</t>
  </si>
  <si>
    <t>Dietitian, Registered: Nutrition, Sports Dietetics</t>
  </si>
  <si>
    <t>136A00000X</t>
  </si>
  <si>
    <t>Dietetic Technician, Registered</t>
  </si>
  <si>
    <t>146D00000X</t>
  </si>
  <si>
    <t>Personal Emergency Response Attendant</t>
  </si>
  <si>
    <t>146L00000X</t>
  </si>
  <si>
    <t>Emergency Medical Technician, Paramedic</t>
  </si>
  <si>
    <t>146M00000X</t>
  </si>
  <si>
    <t>Emergency Medical Technician, Intermediate</t>
  </si>
  <si>
    <t>146N00000X</t>
  </si>
  <si>
    <t>Emergency Medical Technician, Basic</t>
  </si>
  <si>
    <t>152WS0006X</t>
  </si>
  <si>
    <t>Optometrist: Sports Vision</t>
  </si>
  <si>
    <t>156F00000X</t>
  </si>
  <si>
    <t>Technician/Technologist</t>
  </si>
  <si>
    <t>156FC0800X</t>
  </si>
  <si>
    <t>Technician/Technologist: Contact Lens</t>
  </si>
  <si>
    <t>156FC0801X</t>
  </si>
  <si>
    <t>Technician/Technologist: Contact Lens Fitter</t>
  </si>
  <si>
    <t>156FX1100X</t>
  </si>
  <si>
    <t>Technician/Technologist: Ophthalmic</t>
  </si>
  <si>
    <t>156FX1101X</t>
  </si>
  <si>
    <t>Technician/Technologist: Ophthalmic Assistant</t>
  </si>
  <si>
    <t>156FX1201X</t>
  </si>
  <si>
    <t>Technician/Technologist: Optometric Assistant</t>
  </si>
  <si>
    <t>156FX1202X</t>
  </si>
  <si>
    <t>Technician/Technologist: Optometric Technician</t>
  </si>
  <si>
    <t>156FX1700X</t>
  </si>
  <si>
    <t>Technician/Technologist: Ocularist</t>
  </si>
  <si>
    <t>156FX1800X</t>
  </si>
  <si>
    <t>Technician/Technologist: Optician</t>
  </si>
  <si>
    <t>156FX1900X</t>
  </si>
  <si>
    <t>Technician/Technologist: Orthoptist</t>
  </si>
  <si>
    <t>163W00000X</t>
  </si>
  <si>
    <t>Registered Nurse</t>
  </si>
  <si>
    <t>163WA0400X</t>
  </si>
  <si>
    <t>Registered Nurse: Addiction (Substance Use Disorder)</t>
  </si>
  <si>
    <t>163WA2000X</t>
  </si>
  <si>
    <t>Registered Nurse: Administrator</t>
  </si>
  <si>
    <t>163WC0200X</t>
  </si>
  <si>
    <t>Registered Nurse: Critical Care Medicine</t>
  </si>
  <si>
    <t>163WC0400X</t>
  </si>
  <si>
    <t>Registered Nurse: Case Management</t>
  </si>
  <si>
    <t>163WC1400X</t>
  </si>
  <si>
    <t>Registered Nurse: College Health</t>
  </si>
  <si>
    <t>163WC1500X</t>
  </si>
  <si>
    <t>Registered Nurse: Community Health</t>
  </si>
  <si>
    <t>163WC1600X</t>
  </si>
  <si>
    <t>Registered Nurse: Continuing Education/Staff Development</t>
  </si>
  <si>
    <t>163WC2100X</t>
  </si>
  <si>
    <t>Registered Nurse: Continence Care</t>
  </si>
  <si>
    <t>163WC3500X</t>
  </si>
  <si>
    <t>Registered Nurse: Cardiac Rehabilitation</t>
  </si>
  <si>
    <t>163WD0400X</t>
  </si>
  <si>
    <t>Registered Nurse: Diabetes Educator</t>
  </si>
  <si>
    <t>163WD1100X</t>
  </si>
  <si>
    <t>Registered Nurse: Dialysis, Peritoneal</t>
  </si>
  <si>
    <t>163WE0003X</t>
  </si>
  <si>
    <t>Registered Nurse: Emergency</t>
  </si>
  <si>
    <t>163WE0900X</t>
  </si>
  <si>
    <t>Registered Nurse: Enterostomal Therapy</t>
  </si>
  <si>
    <t>163WF0300X</t>
  </si>
  <si>
    <t>Registered Nurse: Flight</t>
  </si>
  <si>
    <t>163WG0000X</t>
  </si>
  <si>
    <t>Registered Nurse: General Practice</t>
  </si>
  <si>
    <t>163WG0100X</t>
  </si>
  <si>
    <t>Registered Nurse: Gastroenterology</t>
  </si>
  <si>
    <t>163WG0600X</t>
  </si>
  <si>
    <t>Registered Nurse: Gerontology</t>
  </si>
  <si>
    <t>163WH0200X</t>
  </si>
  <si>
    <t>Registered Nurse: Home Health</t>
  </si>
  <si>
    <t>163WH0500X</t>
  </si>
  <si>
    <t>Registered Nurse: Hemodialysis</t>
  </si>
  <si>
    <t>163WH1000X</t>
  </si>
  <si>
    <t>Registered Nurse: Hospice</t>
  </si>
  <si>
    <t>163WI0500X</t>
  </si>
  <si>
    <t>Registered Nurse: Infusion Therapy</t>
  </si>
  <si>
    <t>163WI0600X</t>
  </si>
  <si>
    <t>Registered Nurse: Infection Control</t>
  </si>
  <si>
    <t>163WL0100X</t>
  </si>
  <si>
    <t>Registered Nurse: Lactation Consultant</t>
  </si>
  <si>
    <t>163WM0102X</t>
  </si>
  <si>
    <t>Registered Nurse: Maternal Newborn</t>
  </si>
  <si>
    <t>163WM0705X</t>
  </si>
  <si>
    <t>Registered Nurse: Medical-Surgical</t>
  </si>
  <si>
    <t>163WM1400X</t>
  </si>
  <si>
    <t>Registered Nurse: Nurse Massage Therapist (NMT)</t>
  </si>
  <si>
    <t>163WN0002X</t>
  </si>
  <si>
    <t>Registered Nurse: Neonatal Intensive Care</t>
  </si>
  <si>
    <t>163WN0003X</t>
  </si>
  <si>
    <t>Registered Nurse: Neonatal, Low-Risk</t>
  </si>
  <si>
    <t>163WN0300X</t>
  </si>
  <si>
    <t>Registered Nurse: Nephrology</t>
  </si>
  <si>
    <t>163WN0800X</t>
  </si>
  <si>
    <t>Registered Nurse: Neuroscience</t>
  </si>
  <si>
    <t>163WN1003X</t>
  </si>
  <si>
    <t>Registered Nurse: Nutrition Support</t>
  </si>
  <si>
    <t>163WP0000X</t>
  </si>
  <si>
    <t>Registered Nurse: Pain Management</t>
  </si>
  <si>
    <t>163WP0200X</t>
  </si>
  <si>
    <t>Registered Nurse: Pediatrics</t>
  </si>
  <si>
    <t>163WP0218X</t>
  </si>
  <si>
    <t>Registered Nurse: Pediatric Oncology</t>
  </si>
  <si>
    <t>163WP0807X</t>
  </si>
  <si>
    <t>Registered Nurse: Psych/Mental Health, Child &amp; Adolescent</t>
  </si>
  <si>
    <t>163WP0808X</t>
  </si>
  <si>
    <t>Registered Nurse: Psych/Mental Health</t>
  </si>
  <si>
    <t>163WP0809X</t>
  </si>
  <si>
    <t>Registered Nurse: Psych/Mental Health, Adult</t>
  </si>
  <si>
    <t>163WP1700X</t>
  </si>
  <si>
    <t>Registered Nurse: Perinatal</t>
  </si>
  <si>
    <t>163WP2201X</t>
  </si>
  <si>
    <t>Registered Nurse: Ambulatory Care</t>
  </si>
  <si>
    <t>163WR0006X</t>
  </si>
  <si>
    <t>Registered Nurse: Registered Nurse First Assistant</t>
  </si>
  <si>
    <t>163WR0400X</t>
  </si>
  <si>
    <t>Registered Nurse: Rehabilitation</t>
  </si>
  <si>
    <t>163WR1000X</t>
  </si>
  <si>
    <t>Registered Nurse: Reproductive Endocrinology/Infertility</t>
  </si>
  <si>
    <t>163WS0121X</t>
  </si>
  <si>
    <t>Registered Nurse: Plastic Surgery</t>
  </si>
  <si>
    <t>163WS0200X</t>
  </si>
  <si>
    <t>Registered Nurse: School</t>
  </si>
  <si>
    <t>163WU0100X</t>
  </si>
  <si>
    <t>Registered Nurse: Urology</t>
  </si>
  <si>
    <t>163WW0000X</t>
  </si>
  <si>
    <t>Registered Nurse: Wound Care</t>
  </si>
  <si>
    <t>163WW0101X</t>
  </si>
  <si>
    <t>Registered Nurse: Womens Health Care, Ambulatory</t>
  </si>
  <si>
    <t>163WX0002X</t>
  </si>
  <si>
    <t>Registered Nurse: Obstetric, High-Risk</t>
  </si>
  <si>
    <t>163WX0003X</t>
  </si>
  <si>
    <t>Registered Nurse: Obstetric, Inpatient</t>
  </si>
  <si>
    <t>163WX0106X</t>
  </si>
  <si>
    <t>Registered Nurse: Occupational Health</t>
  </si>
  <si>
    <t>163WX0200X</t>
  </si>
  <si>
    <t>Registered Nurse: Oncology</t>
  </si>
  <si>
    <t>163WX0601X</t>
  </si>
  <si>
    <t>Registered Nurse: Otorhinolaryngology &amp; Head-Neck</t>
  </si>
  <si>
    <t>163WX0800X</t>
  </si>
  <si>
    <t>Registered Nurse: Orthopedic</t>
  </si>
  <si>
    <t>163WX1100X</t>
  </si>
  <si>
    <t>Registered Nurse: Ophthalmic</t>
  </si>
  <si>
    <t>163WX1500X</t>
  </si>
  <si>
    <t>Registered Nurse: Ostomy Care</t>
  </si>
  <si>
    <t>164W00000X</t>
  </si>
  <si>
    <t>Licensed Practical Nurse</t>
  </si>
  <si>
    <t>164X00000X</t>
  </si>
  <si>
    <t>Licensed Vocational Nurse</t>
  </si>
  <si>
    <t>167G00000X</t>
  </si>
  <si>
    <t>Licensed Psychiatric Technician</t>
  </si>
  <si>
    <t>170100000X</t>
  </si>
  <si>
    <t>Medical Genetics, Ph.D. Medical Genetics</t>
  </si>
  <si>
    <t>170300000X</t>
  </si>
  <si>
    <t>Genetic Counselor, MS</t>
  </si>
  <si>
    <t>171000000X</t>
  </si>
  <si>
    <t>Military Health Care Provider</t>
  </si>
  <si>
    <t>1710I1002X</t>
  </si>
  <si>
    <t>Military Health Care Provider: Independent Duty Corpsman</t>
  </si>
  <si>
    <t>1710I1003X</t>
  </si>
  <si>
    <t>Military Health Care Provider: Independent Duty Medical Technicians</t>
  </si>
  <si>
    <t>171100000X</t>
  </si>
  <si>
    <t>Acupuncturist</t>
  </si>
  <si>
    <t>171400000X</t>
  </si>
  <si>
    <t>Health &amp; Wellness Coach</t>
  </si>
  <si>
    <t>171M00000X</t>
  </si>
  <si>
    <t>Case Manager/Care Coordinator</t>
  </si>
  <si>
    <t>171R00000X</t>
  </si>
  <si>
    <t>Interpreter</t>
  </si>
  <si>
    <t>171W00000X</t>
  </si>
  <si>
    <t>Contractor: Financial Services</t>
  </si>
  <si>
    <t>171WH0202X</t>
  </si>
  <si>
    <t>Contractor: Home Modifications</t>
  </si>
  <si>
    <t>171WV0202X</t>
  </si>
  <si>
    <t>Contractor: Vehicle Modifications</t>
  </si>
  <si>
    <t>172A00000X</t>
  </si>
  <si>
    <t>Driver</t>
  </si>
  <si>
    <t>172M00000X</t>
  </si>
  <si>
    <t>Mechanotherapist</t>
  </si>
  <si>
    <t>172P00000X</t>
  </si>
  <si>
    <t>Naprapath</t>
  </si>
  <si>
    <t>172V00000X</t>
  </si>
  <si>
    <t>Community Health Worker</t>
  </si>
  <si>
    <t>173000000X</t>
  </si>
  <si>
    <t>Legal Medicine (Other Service Providers)</t>
  </si>
  <si>
    <t>173C00000X</t>
  </si>
  <si>
    <t>Reflexologist</t>
  </si>
  <si>
    <t>173F00000X</t>
  </si>
  <si>
    <t>Sleep Specialist, PhD</t>
  </si>
  <si>
    <t>174200000X</t>
  </si>
  <si>
    <t>Meals</t>
  </si>
  <si>
    <t>174400000X</t>
  </si>
  <si>
    <t>Specialist</t>
  </si>
  <si>
    <t>1744G0900X</t>
  </si>
  <si>
    <t>Specialist: Graphics Designer</t>
  </si>
  <si>
    <t>1744P3200X</t>
  </si>
  <si>
    <t>Specialist: Prosthetics Case Management</t>
  </si>
  <si>
    <t>1744R1102X</t>
  </si>
  <si>
    <t>Specialist: Research Study</t>
  </si>
  <si>
    <t>1744R1103X</t>
  </si>
  <si>
    <t>Specialist: Research Data Abstracter/Coder</t>
  </si>
  <si>
    <t>174H00000X</t>
  </si>
  <si>
    <t>Health Educator</t>
  </si>
  <si>
    <t>174M00000X</t>
  </si>
  <si>
    <t>Veterinarian</t>
  </si>
  <si>
    <t>174MM1900X</t>
  </si>
  <si>
    <t>Veterinarian: Medical Research</t>
  </si>
  <si>
    <t>174N00000X</t>
  </si>
  <si>
    <t>Lactation Consultant, Non-RN</t>
  </si>
  <si>
    <t>174V00000X</t>
  </si>
  <si>
    <t>Clinical Ethicist</t>
  </si>
  <si>
    <t>175F00000X</t>
  </si>
  <si>
    <t>Naturopath</t>
  </si>
  <si>
    <t>175L00000X</t>
  </si>
  <si>
    <t>Homeopath</t>
  </si>
  <si>
    <t>175M00000X</t>
  </si>
  <si>
    <t>Midwife, Lay</t>
  </si>
  <si>
    <t>175T00000X</t>
  </si>
  <si>
    <t>Peer Specialist (Other Service Providers)</t>
  </si>
  <si>
    <t>176B00000X</t>
  </si>
  <si>
    <t>Midwife</t>
  </si>
  <si>
    <t>176P00000X</t>
  </si>
  <si>
    <t>Funeral Director</t>
  </si>
  <si>
    <t>177F00000X</t>
  </si>
  <si>
    <t>Lodging</t>
  </si>
  <si>
    <t>183500000X</t>
  </si>
  <si>
    <t>Pharmacist</t>
  </si>
  <si>
    <t>1835C0205X</t>
  </si>
  <si>
    <t>Pharmacist: Critical Care</t>
  </si>
  <si>
    <t>1835G0000X</t>
  </si>
  <si>
    <t>Pharmacist: General Practice</t>
  </si>
  <si>
    <t>1835G0303X</t>
  </si>
  <si>
    <t>Pharmacist: Geriatric</t>
  </si>
  <si>
    <t>1835N0905X</t>
  </si>
  <si>
    <t>Pharmacist: Nuclear</t>
  </si>
  <si>
    <t>1835N1003X</t>
  </si>
  <si>
    <t>Pharmacist: Nutrition Support</t>
  </si>
  <si>
    <t>1835P0018X</t>
  </si>
  <si>
    <t>Pharmacist: Pharmacist Clinician (PhC)/ Clinical Pharmacy Specialist</t>
  </si>
  <si>
    <t>1835P0200X</t>
  </si>
  <si>
    <t>Pharmacist: Pediatrics</t>
  </si>
  <si>
    <t>1835P1200X</t>
  </si>
  <si>
    <t>Pharmacist: Pharmacotherapy</t>
  </si>
  <si>
    <t>1835P1300X</t>
  </si>
  <si>
    <t>Pharmacist: Psychiatric</t>
  </si>
  <si>
    <t>1835P2201X</t>
  </si>
  <si>
    <t>Pharmacist: Ambulatory Care</t>
  </si>
  <si>
    <t>1835X0200X</t>
  </si>
  <si>
    <t>Pharmacist: Oncology</t>
  </si>
  <si>
    <t>183700000X</t>
  </si>
  <si>
    <t>Pharmacy Technician</t>
  </si>
  <si>
    <t>193200000X</t>
  </si>
  <si>
    <t>Multi-Specialty</t>
  </si>
  <si>
    <t>193400000X</t>
  </si>
  <si>
    <t>Single Specialty</t>
  </si>
  <si>
    <t>202C00000X</t>
  </si>
  <si>
    <t>Independent Medical Examiner</t>
  </si>
  <si>
    <t>202K00000X</t>
  </si>
  <si>
    <t>Phlebology</t>
  </si>
  <si>
    <t>204C00000X</t>
  </si>
  <si>
    <t>Neuromusculoskeletal Medicine, Sports Medicine</t>
  </si>
  <si>
    <t>204D00000X</t>
  </si>
  <si>
    <t>Neuromusculoskeletal Medicine &amp; OMM</t>
  </si>
  <si>
    <t>204E00000X</t>
  </si>
  <si>
    <t>Oral &amp; Maxillofacial Surgery</t>
  </si>
  <si>
    <t>204F00000X</t>
  </si>
  <si>
    <t>Transplant Surgery</t>
  </si>
  <si>
    <t>204R00000X</t>
  </si>
  <si>
    <t>Electrodiagnostic Medicine</t>
  </si>
  <si>
    <t>207K00000X</t>
  </si>
  <si>
    <t>Allergy &amp; Immunology</t>
  </si>
  <si>
    <t>207KA0200X</t>
  </si>
  <si>
    <t>Allergy &amp; Immunology: Allergy</t>
  </si>
  <si>
    <t>207KI0005X</t>
  </si>
  <si>
    <t>Allergy &amp; Immunology: Clinical &amp; Laboratory Immunology</t>
  </si>
  <si>
    <t>207L00000X</t>
  </si>
  <si>
    <t>Anesthesiology</t>
  </si>
  <si>
    <t>207LA0401X</t>
  </si>
  <si>
    <t>Anesthesiology: Addiction Medicine</t>
  </si>
  <si>
    <t>207LC0200X</t>
  </si>
  <si>
    <t>Anesthesiology: Critical Care Medicine</t>
  </si>
  <si>
    <t>207LH0002X</t>
  </si>
  <si>
    <t>Anesthesiology: Hospice and Palliative Medicine</t>
  </si>
  <si>
    <t>207LP2900X</t>
  </si>
  <si>
    <t>Anesthesiology: Pain Medicine</t>
  </si>
  <si>
    <t>207LP3000X</t>
  </si>
  <si>
    <t>Anesthesiology: Pediatric Anesthesiology</t>
  </si>
  <si>
    <t>207N00000X</t>
  </si>
  <si>
    <t>Dermatology</t>
  </si>
  <si>
    <t>207ND0101X</t>
  </si>
  <si>
    <t>Dermatology: MOHS-Micrographic Surgery</t>
  </si>
  <si>
    <t>207ND0900X</t>
  </si>
  <si>
    <t>Dermatology: Dermatopathology</t>
  </si>
  <si>
    <t>207NI0002X</t>
  </si>
  <si>
    <t>Dermatology: Clinical &amp; Laboratory Dermatological Immunology</t>
  </si>
  <si>
    <t>207NP0225X</t>
  </si>
  <si>
    <t>Dermatology: Pediatric Dermatology</t>
  </si>
  <si>
    <t>207NS0135X</t>
  </si>
  <si>
    <t>Dermatology: Procedural Dermatology</t>
  </si>
  <si>
    <t>207P00000X</t>
  </si>
  <si>
    <t>Emergency Medicine</t>
  </si>
  <si>
    <t>207PE0004X</t>
  </si>
  <si>
    <t>Emergency Medicine: Emergency Medical Services</t>
  </si>
  <si>
    <t>207PE0005X</t>
  </si>
  <si>
    <t>Emergency Medicine: Undersea and Hyperbaric Medicine</t>
  </si>
  <si>
    <t>207PH0002X</t>
  </si>
  <si>
    <t>Emergency Medicine: Hospice and Palliative Medicine</t>
  </si>
  <si>
    <t>207PP0204X</t>
  </si>
  <si>
    <t>Emergency Medicine: Pediatric Emergency Medicine</t>
  </si>
  <si>
    <t>207PS0010X</t>
  </si>
  <si>
    <t>Emergency Medicine: Sports Medicine</t>
  </si>
  <si>
    <t>207PT0002X</t>
  </si>
  <si>
    <t>Emergency Medicine: Medical Toxicology</t>
  </si>
  <si>
    <t>207Q00000X</t>
  </si>
  <si>
    <t>Family Medicine</t>
  </si>
  <si>
    <t>207QA0000X</t>
  </si>
  <si>
    <t>Family Medicine: Adolescent Medicine</t>
  </si>
  <si>
    <t>207QA0401X</t>
  </si>
  <si>
    <t>Family Medicine: Addiction Medicine</t>
  </si>
  <si>
    <t>207QA0505X</t>
  </si>
  <si>
    <t>Family Medicine: Adult Medicine</t>
  </si>
  <si>
    <t>207QB0002X</t>
  </si>
  <si>
    <t>Family Medicine: Obesity Medicine</t>
  </si>
  <si>
    <t>207QG0300X</t>
  </si>
  <si>
    <t>Family Medicine: Geriatric Medicine</t>
  </si>
  <si>
    <t>207QH0002X</t>
  </si>
  <si>
    <t>Family Medicine: Hospice and Palliative Medicine</t>
  </si>
  <si>
    <t>207QS0010X</t>
  </si>
  <si>
    <t>Family Medicine: Sports Medicine</t>
  </si>
  <si>
    <t>207QS1201X</t>
  </si>
  <si>
    <t>Family Medicine: Sleep Medicine</t>
  </si>
  <si>
    <t>207R00000X</t>
  </si>
  <si>
    <t>Internal Medicine</t>
  </si>
  <si>
    <t>207RA0000X</t>
  </si>
  <si>
    <t>Internal Medicine: Adolescent Medicine</t>
  </si>
  <si>
    <t>207RA0001X</t>
  </si>
  <si>
    <t>Internal Medicine: Advanced Heart Failure and Transplant Cardiology</t>
  </si>
  <si>
    <t>207RA0002X</t>
  </si>
  <si>
    <t>Adult Congenital Heart Disease</t>
  </si>
  <si>
    <t>207RA0201X</t>
  </si>
  <si>
    <t>Internal Medicine: Allergy &amp; Immunology</t>
  </si>
  <si>
    <t>207RA0401X</t>
  </si>
  <si>
    <t>Internal Medicine: Addiction Medicine</t>
  </si>
  <si>
    <t>207RB0002X</t>
  </si>
  <si>
    <t>Internal Medicine: Obesity Medicine</t>
  </si>
  <si>
    <t>207RC0000X</t>
  </si>
  <si>
    <t>Internal Medicine: Cardiovascular Disease</t>
  </si>
  <si>
    <t>207RC0001X</t>
  </si>
  <si>
    <t>Internal Medicine: Clinical Cardiac Electrophysiology</t>
  </si>
  <si>
    <t>207RC0200X</t>
  </si>
  <si>
    <t>Internal Medicine: Critical Care Medicine</t>
  </si>
  <si>
    <t>207RE0101X</t>
  </si>
  <si>
    <t>Internal Medicine: Endocrinology, Diabetes &amp; Metabolism</t>
  </si>
  <si>
    <t>207RG0100X</t>
  </si>
  <si>
    <t>Internal Medicine: Gastroenterology</t>
  </si>
  <si>
    <t>207RG0300X</t>
  </si>
  <si>
    <t>Internal Medicine: Geriatric Medicine</t>
  </si>
  <si>
    <t>207RH0000X</t>
  </si>
  <si>
    <t>Internal Medicine: Hematology</t>
  </si>
  <si>
    <t>207RH0002X</t>
  </si>
  <si>
    <t>Hospice and Palliative Medicine</t>
  </si>
  <si>
    <t>207RH0003X</t>
  </si>
  <si>
    <t>Internal Medicine: Hematology &amp; Oncology</t>
  </si>
  <si>
    <t>207RH0005X</t>
  </si>
  <si>
    <t>Hypertension Specialist</t>
  </si>
  <si>
    <t>207RI0001X</t>
  </si>
  <si>
    <t>Internal Medicine: Clinical &amp; Laboratory Immunology</t>
  </si>
  <si>
    <t>207RI0008X</t>
  </si>
  <si>
    <t>Internal Medicine: Hepatology</t>
  </si>
  <si>
    <t>207RI0011X</t>
  </si>
  <si>
    <t>Internal Medicine: Interventional Cardiology</t>
  </si>
  <si>
    <t>207RI0200X</t>
  </si>
  <si>
    <t>Internal Medicine: Infectious Disease</t>
  </si>
  <si>
    <t>207RM1200X</t>
  </si>
  <si>
    <t>Internal Medicine: Magnetic Resonance Imaging (MRI)</t>
  </si>
  <si>
    <t>207RN0300X</t>
  </si>
  <si>
    <t>Internal Medicine: Nephrology</t>
  </si>
  <si>
    <t>207RP1001X</t>
  </si>
  <si>
    <t>Internal Medicine: Pulmonary Disease</t>
  </si>
  <si>
    <t>207RR0500X</t>
  </si>
  <si>
    <t>Internal Medicine: Rheumatology</t>
  </si>
  <si>
    <t>207RS0010X</t>
  </si>
  <si>
    <t>Internal Medicine: Sports Medicine</t>
  </si>
  <si>
    <t>207RS0012X</t>
  </si>
  <si>
    <t>Internal Medicine: Sleep Medicine</t>
  </si>
  <si>
    <t>207RT0003X</t>
  </si>
  <si>
    <t>Internal Medicine: Transplant Hepatology</t>
  </si>
  <si>
    <t>207RX0202X</t>
  </si>
  <si>
    <t>Internal Medicine: Medical Oncology</t>
  </si>
  <si>
    <t>207SC0300X</t>
  </si>
  <si>
    <t>Medical Genetics: Clinical Cytogenetic</t>
  </si>
  <si>
    <t>207SG0201X</t>
  </si>
  <si>
    <t>Medical Genetics: Clinical Genetics (M.D.)</t>
  </si>
  <si>
    <t>207SG0202X</t>
  </si>
  <si>
    <t>Medical Genetics: Clinical Biochemical Genetics</t>
  </si>
  <si>
    <t>207SG0203X</t>
  </si>
  <si>
    <t>Medical Genetics: Clinical Molecular Genetics</t>
  </si>
  <si>
    <t>207SG0205X</t>
  </si>
  <si>
    <t>Medical Genetics: Ph.D. Medical Genetics</t>
  </si>
  <si>
    <t>207SM0001X</t>
  </si>
  <si>
    <t>Medical Genetics: Molecular Genetic Pathology</t>
  </si>
  <si>
    <t>207T00000X</t>
  </si>
  <si>
    <t>Neurological Surgery</t>
  </si>
  <si>
    <t>207U00000X</t>
  </si>
  <si>
    <t>Nuclear Medicine</t>
  </si>
  <si>
    <t>207UN0901X</t>
  </si>
  <si>
    <t>Nuclear Medicine: Nuclear Cardiology</t>
  </si>
  <si>
    <t>207UN0902X</t>
  </si>
  <si>
    <t>Nuclear Medicine: Nuclear Imaging &amp; Therapy</t>
  </si>
  <si>
    <t>207UN0903X</t>
  </si>
  <si>
    <t>Nuclear Medicine: In Vivo &amp; In Vitro Nuclear Medicine</t>
  </si>
  <si>
    <t>207V00000X</t>
  </si>
  <si>
    <t>Obstetrics &amp; Gynecology</t>
  </si>
  <si>
    <t>207VB0002X</t>
  </si>
  <si>
    <t>Obstetrics &amp; Gynecology: Obesity Medicine</t>
  </si>
  <si>
    <t>207VC0200X</t>
  </si>
  <si>
    <t>Obstetrics &amp; Gynecology: Critical Care Medicine</t>
  </si>
  <si>
    <t>207VE0102X</t>
  </si>
  <si>
    <t>Obstetrics &amp; Gynecology: Reproductive Endocrinology</t>
  </si>
  <si>
    <t>207VF0040X</t>
  </si>
  <si>
    <t>Female Pelvic Medicine and Reconstructive Surgery, OB/GYN</t>
  </si>
  <si>
    <t>207VG0400X</t>
  </si>
  <si>
    <t>Obstetrics &amp; Gynecology: Gynecology</t>
  </si>
  <si>
    <t>207VH0002X</t>
  </si>
  <si>
    <t>Obstetrics &amp; Gynecology: Hospice and Palliative Medicine</t>
  </si>
  <si>
    <t>207VM0101X</t>
  </si>
  <si>
    <t>Obstetrics &amp; Gynecology: Maternal &amp; Fetal Medicine</t>
  </si>
  <si>
    <t>207VX0000X</t>
  </si>
  <si>
    <t>Obstetrics &amp; Gynecology: Obstetrics</t>
  </si>
  <si>
    <t>207VX0201X</t>
  </si>
  <si>
    <t>Obstetrics &amp; Gynecology: Gynecologic Oncology</t>
  </si>
  <si>
    <t>207W00000X</t>
  </si>
  <si>
    <t>Ophthalmology</t>
  </si>
  <si>
    <t>207WX0009X</t>
  </si>
  <si>
    <t>Ophthalmology: Glaucoma Specialist</t>
  </si>
  <si>
    <t>207WX0107X</t>
  </si>
  <si>
    <t>Ophthalmology: Retina Specialist</t>
  </si>
  <si>
    <t>207WX0108X</t>
  </si>
  <si>
    <t>Ophthalmology: Uveitis and Ocular Inflammatory Disease</t>
  </si>
  <si>
    <t>207WX0109X</t>
  </si>
  <si>
    <t>Ophthalmology: Neuro-ophthalmology</t>
  </si>
  <si>
    <t>207WX0110X</t>
  </si>
  <si>
    <t>Ophthalmology: Pediatric Ophthalmology and Strabismus Specialist</t>
  </si>
  <si>
    <t>207WX0120X</t>
  </si>
  <si>
    <t>Ophthalmology: Cornea and External Diseases Specialist</t>
  </si>
  <si>
    <t>207WX0200X</t>
  </si>
  <si>
    <t>Ophthalmology: Ophthalmic Plastic and Reconstructive Surgery</t>
  </si>
  <si>
    <t>207X00000X</t>
  </si>
  <si>
    <t>Orthopaedic Surgery</t>
  </si>
  <si>
    <t>207XP3100X</t>
  </si>
  <si>
    <t>Orthopaedic Surgery: Pediatric Orthopaedic Surgery</t>
  </si>
  <si>
    <t>207XS0106X</t>
  </si>
  <si>
    <t>Orthopaedic Surgery: Hand Surgery</t>
  </si>
  <si>
    <t>207XS0114X</t>
  </si>
  <si>
    <t>Orthopaedic Surgery: Adult Reconstructive Orthopaedic Surgery</t>
  </si>
  <si>
    <t>207XS0117X</t>
  </si>
  <si>
    <t>Orthopaedic Surgery: Orthopaedic Surgery of the Spine</t>
  </si>
  <si>
    <t>207XX0004X</t>
  </si>
  <si>
    <t>Orthopaedic Surgery: Foot and Ankle Surgery</t>
  </si>
  <si>
    <t>207XX0005X</t>
  </si>
  <si>
    <t>Orthopaedic Surgery: Sports Medicine</t>
  </si>
  <si>
    <t>207XX0801X</t>
  </si>
  <si>
    <t>Orthopaedic Surgery: Orthopaedic Trauma</t>
  </si>
  <si>
    <t>207Y00000X</t>
  </si>
  <si>
    <t>Otolaryngology</t>
  </si>
  <si>
    <t>207YP0228X</t>
  </si>
  <si>
    <t>Otolaryngology: Pediatric Otolaryngology</t>
  </si>
  <si>
    <t>207YS0012X</t>
  </si>
  <si>
    <t>Otolaryngology: Sleep Medicine</t>
  </si>
  <si>
    <t>207YS0123X</t>
  </si>
  <si>
    <t>Otolaryngology: Facial Plastic Surgery</t>
  </si>
  <si>
    <t>207YX0007X</t>
  </si>
  <si>
    <t>Otolaryngology: Plastic Surgery within the Head &amp; Neck</t>
  </si>
  <si>
    <t>207YX0602X</t>
  </si>
  <si>
    <t>Otolaryngology: Otolaryngic Allergy</t>
  </si>
  <si>
    <t>207YX0901X</t>
  </si>
  <si>
    <t>Otolaryngology: Otology &amp; Neurotology</t>
  </si>
  <si>
    <t>207YX0905X</t>
  </si>
  <si>
    <t>Otolaryngology: Otolaryngology/Facial Plastic Surgery</t>
  </si>
  <si>
    <t>207ZB0001X</t>
  </si>
  <si>
    <t>Pathology: Blood Banking &amp; Transfusion Medicine</t>
  </si>
  <si>
    <t>207ZC0006X</t>
  </si>
  <si>
    <t>Pathology: Clinical Pathology</t>
  </si>
  <si>
    <t>207ZC0008X</t>
  </si>
  <si>
    <t>Pathology: Clinical Informatics</t>
  </si>
  <si>
    <t>207ZC0500X</t>
  </si>
  <si>
    <t>Pathology: Cytopathology</t>
  </si>
  <si>
    <t>207ZD0900X</t>
  </si>
  <si>
    <t>Pathology: Dermatopathology</t>
  </si>
  <si>
    <t>207ZF0201X</t>
  </si>
  <si>
    <t>Pathology: Forensic Pathology</t>
  </si>
  <si>
    <t>207ZH0000X</t>
  </si>
  <si>
    <t>Pathology: Hematology</t>
  </si>
  <si>
    <t>207ZI0100X</t>
  </si>
  <si>
    <t>Pathology: Immunopathology</t>
  </si>
  <si>
    <t>207ZM0300X</t>
  </si>
  <si>
    <t>Pathology: Medical Microbiology</t>
  </si>
  <si>
    <t>207ZN0500X</t>
  </si>
  <si>
    <t>Pathology: Neuropathology</t>
  </si>
  <si>
    <t>207ZP0007X</t>
  </si>
  <si>
    <t>Pathology: Molecular Genetic Pathology</t>
  </si>
  <si>
    <t>207ZP0101X</t>
  </si>
  <si>
    <t>Pathology: Anatomic Pathology</t>
  </si>
  <si>
    <t>207ZP0102X</t>
  </si>
  <si>
    <t>Pathology: Anatomic Pathology &amp; Clinical Pathology</t>
  </si>
  <si>
    <t>207ZP0104X</t>
  </si>
  <si>
    <t>Pathology: Chemical Pathology</t>
  </si>
  <si>
    <t>207ZP0105X</t>
  </si>
  <si>
    <t>Pathology: Clinical Pathology/Laboratory Medicine</t>
  </si>
  <si>
    <t>207ZP0213X</t>
  </si>
  <si>
    <t>Pathology: Pediatric Pathology</t>
  </si>
  <si>
    <t>208000000X</t>
  </si>
  <si>
    <t>Pediatrics</t>
  </si>
  <si>
    <t>2080A0000X</t>
  </si>
  <si>
    <t>Pediatrics: Adolescent Medicine</t>
  </si>
  <si>
    <t>2080B0002X</t>
  </si>
  <si>
    <t>Pediatrics: Obesity Medicine</t>
  </si>
  <si>
    <t>2080C0008X</t>
  </si>
  <si>
    <t>Pediatrics: Child Abuse Pediatrics</t>
  </si>
  <si>
    <t>2080H0002X</t>
  </si>
  <si>
    <t>Pediatrics: Hospice and Palliative Medicine</t>
  </si>
  <si>
    <t>2080I0007X</t>
  </si>
  <si>
    <t>Pediatrics: Clinical &amp; Laboratory Immunology</t>
  </si>
  <si>
    <t>2080N0001X</t>
  </si>
  <si>
    <t>Pediatrics: Neonatal-Perinatal Medicine</t>
  </si>
  <si>
    <t>2080P0006X</t>
  </si>
  <si>
    <t>Pediatrics: Developmental - Behavioral Pediatrics</t>
  </si>
  <si>
    <t>2080P0008X</t>
  </si>
  <si>
    <t>Pediatrics: Neurodevelopmental Disabilities</t>
  </si>
  <si>
    <t>2080P0201X</t>
  </si>
  <si>
    <t>Pediatrics: Pediatric Allergy &amp; Immunology</t>
  </si>
  <si>
    <t>2080P0202X</t>
  </si>
  <si>
    <t>Pediatrics: Pediatric Cardiology</t>
  </si>
  <si>
    <t>2080P0203X</t>
  </si>
  <si>
    <t>Pediatrics: Pediatric Critical Care Medicine</t>
  </si>
  <si>
    <t>2080P0204X</t>
  </si>
  <si>
    <t>Pediatrics: Pediatric Emergency Medicine</t>
  </si>
  <si>
    <t>2080P0205X</t>
  </si>
  <si>
    <t>Pediatrics: Pediatric Endocrinology</t>
  </si>
  <si>
    <t>2080P0206X</t>
  </si>
  <si>
    <t>Pediatrics: Pediatric Gastroenterology</t>
  </si>
  <si>
    <t>2080P0207X</t>
  </si>
  <si>
    <t>Pediatrics: Pediatric Hematology-Oncology</t>
  </si>
  <si>
    <t>2080P0208X</t>
  </si>
  <si>
    <t>Pediatrics: Pediatric Infectious Diseases</t>
  </si>
  <si>
    <t>2080P0210X</t>
  </si>
  <si>
    <t>Pediatrics: Pediatric Nephrology</t>
  </si>
  <si>
    <t>2080P0214X</t>
  </si>
  <si>
    <t>Pediatrics: Pediatric Pulmonology</t>
  </si>
  <si>
    <t>2080P0216X</t>
  </si>
  <si>
    <t>Pediatrics: Pediatric Rheumatology</t>
  </si>
  <si>
    <t>2080S0010X</t>
  </si>
  <si>
    <t>Pediatrics: Sports Medicine</t>
  </si>
  <si>
    <t>2080S0012X</t>
  </si>
  <si>
    <t>Pediatrics: Sleep Medicine</t>
  </si>
  <si>
    <t>2080T0002X</t>
  </si>
  <si>
    <t>Pediatrics: Medical Toxicology</t>
  </si>
  <si>
    <t>2080T0004X</t>
  </si>
  <si>
    <t>Pediatrics: Pediatric Transplant Hepatology</t>
  </si>
  <si>
    <t>208100000X</t>
  </si>
  <si>
    <t>Physical Medicine &amp; Rehabilitation</t>
  </si>
  <si>
    <t>2081H0002X</t>
  </si>
  <si>
    <t>Physical Medicine &amp; Rehabilitation: Hospice and Palliative Medicine</t>
  </si>
  <si>
    <t>2081N0008X</t>
  </si>
  <si>
    <t>Physical Medicine &amp; Rehabilitation: Neuromuscular Medicine</t>
  </si>
  <si>
    <t>2081P0004X</t>
  </si>
  <si>
    <t>Physical Medicine &amp; Rehabilitation: Spinal Cord Injury Medicine</t>
  </si>
  <si>
    <t>2081P0010X</t>
  </si>
  <si>
    <t>Physical Medicine &amp; Rehabilitation: Pediatric Rehabilitation Medicine</t>
  </si>
  <si>
    <t>2081P0301X</t>
  </si>
  <si>
    <t>Physical Medicine &amp; Rehabilitation: Brain Injury Medicine</t>
  </si>
  <si>
    <t>2081P2900X</t>
  </si>
  <si>
    <t>Physical Medicine &amp; Rehabilitation: Pain Medicine</t>
  </si>
  <si>
    <t>2081S0010X</t>
  </si>
  <si>
    <t>Physical Medicine &amp; Rehabilitation: Sports Medicine</t>
  </si>
  <si>
    <t>208200000X</t>
  </si>
  <si>
    <t>Plastic Surgery</t>
  </si>
  <si>
    <t>2082S0099X</t>
  </si>
  <si>
    <t>Plastic Surgery: Plastic Surgery Within the Head and Neck</t>
  </si>
  <si>
    <t>2082S0105X</t>
  </si>
  <si>
    <t>Plastic Surgery: Surgery of the Hand</t>
  </si>
  <si>
    <t>2083A0100X</t>
  </si>
  <si>
    <t>Preventive Medicine: Aerospace Medicine</t>
  </si>
  <si>
    <t>2083A0300X</t>
  </si>
  <si>
    <t>Preventive Medicine: Addiction Medicine</t>
  </si>
  <si>
    <t>2083B0002X</t>
  </si>
  <si>
    <t>Preventive Medicine: Obesity Medicine</t>
  </si>
  <si>
    <t>2083C0008X</t>
  </si>
  <si>
    <t>Preventive Medicine: Clinical Informatics</t>
  </si>
  <si>
    <t>2083P0011X</t>
  </si>
  <si>
    <t>Preventive Medicine: Undersea and Hyperbaric Medicine</t>
  </si>
  <si>
    <t>2083P0500X</t>
  </si>
  <si>
    <t>Preventive Medicine: Preventive Medicine/Occupational Environmental Medicine</t>
  </si>
  <si>
    <t>2083P0901X</t>
  </si>
  <si>
    <t>Preventive Medicine: Public Health &amp; General Preventive Medicine</t>
  </si>
  <si>
    <t>2083S0010X</t>
  </si>
  <si>
    <t>Preventive Medicine: Sports Medicine</t>
  </si>
  <si>
    <t>2083T0002X</t>
  </si>
  <si>
    <t>Preventive Medicine: Medical Toxicology</t>
  </si>
  <si>
    <t>2083X0100X</t>
  </si>
  <si>
    <t>Preventive Medicine: Occupational Medicine</t>
  </si>
  <si>
    <t>2084A0401X</t>
  </si>
  <si>
    <t>Psychiatry &amp; Neurology: Addiction Medicine</t>
  </si>
  <si>
    <t>2084A2900X</t>
  </si>
  <si>
    <t>Psychiatry &amp; Neurology: Neurocritical Care</t>
  </si>
  <si>
    <t>2084B0002X</t>
  </si>
  <si>
    <t>Psychiatry &amp; Neurology: Obesity Medicine</t>
  </si>
  <si>
    <t>2084B0040X</t>
  </si>
  <si>
    <t>Behavioral Neurology &amp; Neuropsychiatry</t>
  </si>
  <si>
    <t>2084D0003X</t>
  </si>
  <si>
    <t>Psychiatry &amp; Neurology: Diagnostic Neuroimaging</t>
  </si>
  <si>
    <t>2084F0202X</t>
  </si>
  <si>
    <t>Psychiatry &amp; Neurology: Forensic Psychiatry</t>
  </si>
  <si>
    <t>2084H0002X</t>
  </si>
  <si>
    <t>Psychiatry &amp; Neurology: Hospice and Palliative Medicine</t>
  </si>
  <si>
    <t>2084N0008X</t>
  </si>
  <si>
    <t>Psychiatry &amp; Neurology: Neuromuscular Medicine</t>
  </si>
  <si>
    <t>2084N0400X</t>
  </si>
  <si>
    <t>Psychiatry &amp; Neurology: Neurology</t>
  </si>
  <si>
    <t>2084N0402X</t>
  </si>
  <si>
    <t>Psychiatry &amp; Neurology: Neurology with Special Qualifications in Child Neurology</t>
  </si>
  <si>
    <t>2084N0600X</t>
  </si>
  <si>
    <t>Psychiatry &amp; Neurology: Clinical Neurophysiology</t>
  </si>
  <si>
    <t>2084P0005X</t>
  </si>
  <si>
    <t>Psychiatry &amp; Neurology: Neurodevelopmental Disabilities</t>
  </si>
  <si>
    <t>2084P0015X</t>
  </si>
  <si>
    <t>Psychiatry &amp; Neurology: Psychosomatic Medicine</t>
  </si>
  <si>
    <t>2084P0301X</t>
  </si>
  <si>
    <t>Psychiatry &amp; Neurology: Brain Injury Medicine</t>
  </si>
  <si>
    <t>2084P0800X</t>
  </si>
  <si>
    <t>Psychiatry &amp; Neurology: Psychiatry</t>
  </si>
  <si>
    <t>2084P0802X</t>
  </si>
  <si>
    <t>Psychiatry &amp; Neurology: Addiction Psychiatry</t>
  </si>
  <si>
    <t>2084P0804X</t>
  </si>
  <si>
    <t>Psychiatry &amp; Neurology: Child &amp; Adolescent Psychiatry</t>
  </si>
  <si>
    <t>2084P0805X</t>
  </si>
  <si>
    <t>Psychiatry &amp; Neurology: Geriatric Psychiatry</t>
  </si>
  <si>
    <t>2084P2900X</t>
  </si>
  <si>
    <t>Psychiatry &amp; Neurology: Pain Medicine</t>
  </si>
  <si>
    <t>2084S0010X</t>
  </si>
  <si>
    <t>Psychiatry &amp; Neurology: Sports Medicine</t>
  </si>
  <si>
    <t>2084S0012X</t>
  </si>
  <si>
    <t>Psychiatry &amp; Neurology: Sleep Medicine</t>
  </si>
  <si>
    <t>2084V0102X</t>
  </si>
  <si>
    <t>Psychiatry &amp; Neurology: Vascular Neurology</t>
  </si>
  <si>
    <t>2085B0100X</t>
  </si>
  <si>
    <t>Radiology: Body Imaging</t>
  </si>
  <si>
    <t>2085D0003X</t>
  </si>
  <si>
    <t>Radiology: Diagnostic Neuroimaging</t>
  </si>
  <si>
    <t>2085H0002X</t>
  </si>
  <si>
    <t>Radiology: Hospice and Palliative Medicine</t>
  </si>
  <si>
    <t>2085N0700X</t>
  </si>
  <si>
    <t>Radiology: Neuroradiology</t>
  </si>
  <si>
    <t>2085N0904X</t>
  </si>
  <si>
    <t>Radiology: Nuclear Radiology</t>
  </si>
  <si>
    <t>2085P0229X</t>
  </si>
  <si>
    <t>Radiology: Pediatric Radiology</t>
  </si>
  <si>
    <t>2085R0001X</t>
  </si>
  <si>
    <t>Radiology: Radiation Oncology</t>
  </si>
  <si>
    <t>2085R0202X</t>
  </si>
  <si>
    <t>Radiology: Diagnostic Radiology</t>
  </si>
  <si>
    <t>2085R0203X</t>
  </si>
  <si>
    <t>Radiology: Therapeutic Radiology</t>
  </si>
  <si>
    <t>2085R0204X</t>
  </si>
  <si>
    <t>Radiology: Vascular &amp; Interventional Radiology</t>
  </si>
  <si>
    <t>2085R0205X</t>
  </si>
  <si>
    <t>Radiology: Radiological Physics</t>
  </si>
  <si>
    <t>2085U0001X</t>
  </si>
  <si>
    <t>Radiology: Diagnostic Ultrasound</t>
  </si>
  <si>
    <t>208600000X</t>
  </si>
  <si>
    <t>Surgery</t>
  </si>
  <si>
    <t>2086H0002X</t>
  </si>
  <si>
    <t>Surgery: Hospice and Palliative Medicine</t>
  </si>
  <si>
    <t>2086S0102X</t>
  </si>
  <si>
    <t>Surgery: Surgical Critical Care</t>
  </si>
  <si>
    <t>2086S0105X</t>
  </si>
  <si>
    <t>Surgery: Surgery of the Hand</t>
  </si>
  <si>
    <t>2086S0120X</t>
  </si>
  <si>
    <t>Surgery: Pediatric Surgery</t>
  </si>
  <si>
    <t>2086S0122X</t>
  </si>
  <si>
    <t>Surgery: Plastic and Reconstructive Surgery</t>
  </si>
  <si>
    <t>2086S0127X</t>
  </si>
  <si>
    <t>Surgery: Trauma Surgery</t>
  </si>
  <si>
    <t>2086S0129X</t>
  </si>
  <si>
    <t>Surgery: Vascular Surgery</t>
  </si>
  <si>
    <t>2086X0206X</t>
  </si>
  <si>
    <t>Surgery: Surgical Oncology</t>
  </si>
  <si>
    <t>208800000X</t>
  </si>
  <si>
    <t>Urology</t>
  </si>
  <si>
    <t>2088F0040X</t>
  </si>
  <si>
    <t>Female Pelvic Medicine and Reconstructive Surgery, Urology Physician</t>
  </si>
  <si>
    <t>2088P0231X</t>
  </si>
  <si>
    <t>Urology: Pediatric Urology</t>
  </si>
  <si>
    <t>208C00000X</t>
  </si>
  <si>
    <t>Colon &amp; Rectal Surgery</t>
  </si>
  <si>
    <t>208D00000X</t>
  </si>
  <si>
    <t>General Practice</t>
  </si>
  <si>
    <t>208G00000X</t>
  </si>
  <si>
    <t>Thoracic Surgery (Cardiothoracic Vascular Surgery)</t>
  </si>
  <si>
    <t>208M00000X</t>
  </si>
  <si>
    <t>Hospitalist</t>
  </si>
  <si>
    <t>208U00000X</t>
  </si>
  <si>
    <t>Clinical Pharmacology</t>
  </si>
  <si>
    <t>208VP0000X</t>
  </si>
  <si>
    <t>Pain Medicine: Pain Medicine</t>
  </si>
  <si>
    <t>208VP0014X</t>
  </si>
  <si>
    <t>Pain Medicine: Interventional Pain Medicine</t>
  </si>
  <si>
    <t>209800000X</t>
  </si>
  <si>
    <t>Legal Medicine (Allopathic &amp; Osteopathic)</t>
  </si>
  <si>
    <t>211D00000X</t>
  </si>
  <si>
    <t>Assistant, Podiatric</t>
  </si>
  <si>
    <t>213E00000X</t>
  </si>
  <si>
    <t>Podiatrist</t>
  </si>
  <si>
    <t>213EG0000X</t>
  </si>
  <si>
    <t>Podiatrist: General Practice</t>
  </si>
  <si>
    <t>213EP0504X</t>
  </si>
  <si>
    <t>Podiatrist: Public Medicine</t>
  </si>
  <si>
    <t>213EP1101X</t>
  </si>
  <si>
    <t>Podiatrist: Primary Podiatric Medicine</t>
  </si>
  <si>
    <t>213ER0200X</t>
  </si>
  <si>
    <t>Podiatrist: Radiology</t>
  </si>
  <si>
    <t>213ES0000X</t>
  </si>
  <si>
    <t>Podiatrist: Sports Medicine</t>
  </si>
  <si>
    <t>213ES0103X</t>
  </si>
  <si>
    <t>Podiatrist: Foot &amp; Ankle Surgery</t>
  </si>
  <si>
    <t>213ES0131X</t>
  </si>
  <si>
    <t>Podiatrist: Foot Surgery</t>
  </si>
  <si>
    <t>221700000X</t>
  </si>
  <si>
    <t>Art Therapist</t>
  </si>
  <si>
    <t>222Q00000X</t>
  </si>
  <si>
    <t>Developmental Therapist</t>
  </si>
  <si>
    <t>222Z00000X</t>
  </si>
  <si>
    <t>Orthotist</t>
  </si>
  <si>
    <t>224900000X</t>
  </si>
  <si>
    <t>Mastectomy Fitter</t>
  </si>
  <si>
    <t>224L00000X</t>
  </si>
  <si>
    <t>Pedorthist</t>
  </si>
  <si>
    <t>224P00000X</t>
  </si>
  <si>
    <t>Prosthetist</t>
  </si>
  <si>
    <t>224Y00000X</t>
  </si>
  <si>
    <t>Clinical Exercise Physiologist</t>
  </si>
  <si>
    <t>224Z00000X</t>
  </si>
  <si>
    <t>Occupational Therapy Assistant</t>
  </si>
  <si>
    <t>224ZE0001X</t>
  </si>
  <si>
    <t>Occupational Therapy Assistant: Environmental Modification</t>
  </si>
  <si>
    <t>224ZF0002X</t>
  </si>
  <si>
    <t>Occupational Therapy Assistant: Feeding, Eating &amp; Swallowing</t>
  </si>
  <si>
    <t>224ZL0004X</t>
  </si>
  <si>
    <t>Occupational Therapy Assistant: Low Vision</t>
  </si>
  <si>
    <t>224ZR0403X</t>
  </si>
  <si>
    <t>Occupational Therapy Assistant: Driving and Community Mobility</t>
  </si>
  <si>
    <t>225000000X</t>
  </si>
  <si>
    <t>Orthotics/Prosthetics Fitter</t>
  </si>
  <si>
    <t>225100000X</t>
  </si>
  <si>
    <t>Physical Therapist</t>
  </si>
  <si>
    <t>2251C2600X</t>
  </si>
  <si>
    <t>Physical Therapist: Cardiopulmonary</t>
  </si>
  <si>
    <t>2251E1200X</t>
  </si>
  <si>
    <t>Physical Therapist: Ergonomics</t>
  </si>
  <si>
    <t>2251E1300X</t>
  </si>
  <si>
    <t>Physical Therapist: Electrophysiology, Clinical</t>
  </si>
  <si>
    <t>2251G0304X</t>
  </si>
  <si>
    <t>Physical Therapist: Geriatrics</t>
  </si>
  <si>
    <t>2251H1200X</t>
  </si>
  <si>
    <t>Physical Therapist: Hand</t>
  </si>
  <si>
    <t>2251H1300X</t>
  </si>
  <si>
    <t>Physical Therapist: Human Factors</t>
  </si>
  <si>
    <t>2251N0400X</t>
  </si>
  <si>
    <t>Physical Therapist: Neurology</t>
  </si>
  <si>
    <t>2251P0200X</t>
  </si>
  <si>
    <t>Physical Therapist: Pediatrics</t>
  </si>
  <si>
    <t>2251S0007X</t>
  </si>
  <si>
    <t>Physical Therapist: Sports</t>
  </si>
  <si>
    <t>2251X0800X</t>
  </si>
  <si>
    <t>Physical Therapist: Orthopedic</t>
  </si>
  <si>
    <t>225200000X</t>
  </si>
  <si>
    <t>Physical Therapy Assistant</t>
  </si>
  <si>
    <t>225400000X</t>
  </si>
  <si>
    <t>Rehabilitation Practitioner</t>
  </si>
  <si>
    <t>225500000X</t>
  </si>
  <si>
    <t>Specialist/Technologist (Respiratory &amp; Rehab)</t>
  </si>
  <si>
    <t>2255A2300X</t>
  </si>
  <si>
    <t>Specialist/Technologist: Athletic Trainer</t>
  </si>
  <si>
    <t>2255R0406X</t>
  </si>
  <si>
    <t>Specialist/Technologist: Rehabilitation, Blind</t>
  </si>
  <si>
    <t>225600000X</t>
  </si>
  <si>
    <t>Dance Therapist</t>
  </si>
  <si>
    <t>225700000X</t>
  </si>
  <si>
    <t>Massage Therapist</t>
  </si>
  <si>
    <t>225800000X</t>
  </si>
  <si>
    <t>Recreation Therapist</t>
  </si>
  <si>
    <t>225A00000X</t>
  </si>
  <si>
    <t>Music Therapist</t>
  </si>
  <si>
    <t>225B00000X</t>
  </si>
  <si>
    <t>Pulmonary Function Technologist</t>
  </si>
  <si>
    <t>225C00000X</t>
  </si>
  <si>
    <t>Rehabilitation Counselor</t>
  </si>
  <si>
    <t>225CA2400X</t>
  </si>
  <si>
    <t>Rehabilitation Counselor: Assistive Technology Practitioner</t>
  </si>
  <si>
    <t>225CA2500X</t>
  </si>
  <si>
    <t>Rehabilitation Counselor: Assistive Technology Supplier</t>
  </si>
  <si>
    <t>225CX0006X</t>
  </si>
  <si>
    <t>Rehabilitation Counselor: Orientation and Mobility Training Provider</t>
  </si>
  <si>
    <t>225X00000X</t>
  </si>
  <si>
    <t>Occupational Therapist</t>
  </si>
  <si>
    <t>225XE0001X</t>
  </si>
  <si>
    <t>Occupational Therapist: Environmental Modification</t>
  </si>
  <si>
    <t>225XE1200X</t>
  </si>
  <si>
    <t>Occupational Therapist: Ergonomics</t>
  </si>
  <si>
    <t>225XF0002X</t>
  </si>
  <si>
    <t>Occupational Therapist: Feeding, Eating &amp; Swallowing</t>
  </si>
  <si>
    <t>225XG0600X</t>
  </si>
  <si>
    <t>Occupational Therapist: Gerontology</t>
  </si>
  <si>
    <t>225XH1200X</t>
  </si>
  <si>
    <t>Occupational Therapist: Hand</t>
  </si>
  <si>
    <t>225XH1300X</t>
  </si>
  <si>
    <t>Occupational Therapist: Human Factors</t>
  </si>
  <si>
    <t>225XL0004X</t>
  </si>
  <si>
    <t>Occupational Therapist: Low Vision</t>
  </si>
  <si>
    <t>225XM0800X</t>
  </si>
  <si>
    <t>Occupational Therapist: Mental Health</t>
  </si>
  <si>
    <t>225XN1300X</t>
  </si>
  <si>
    <t>Occupational Therapist: Neurorehabilitation</t>
  </si>
  <si>
    <t>225XP0019X</t>
  </si>
  <si>
    <t>Occupational Therapist: Physical Rehabilitation</t>
  </si>
  <si>
    <t>225XP0200X</t>
  </si>
  <si>
    <t>Occupational Therapist: Pediatrics</t>
  </si>
  <si>
    <t>225XR0403X</t>
  </si>
  <si>
    <t>Occupational Therapist: Driving and Community Mobility</t>
  </si>
  <si>
    <t>226000000X</t>
  </si>
  <si>
    <t>Recreational Therapist Assistant</t>
  </si>
  <si>
    <t>226300000X</t>
  </si>
  <si>
    <t>Kinesiotherapist</t>
  </si>
  <si>
    <t>227800000X</t>
  </si>
  <si>
    <t>Respiratory Therapist, Certified</t>
  </si>
  <si>
    <t>2278C0205X</t>
  </si>
  <si>
    <t>Respiratory Therapist, Certified: Critical Care</t>
  </si>
  <si>
    <t>2278E0002X</t>
  </si>
  <si>
    <t>Respiratory Therapist, Certified: Emergency Care</t>
  </si>
  <si>
    <t>2278E1000X</t>
  </si>
  <si>
    <t>Respiratory Therapist, Certified: Educational</t>
  </si>
  <si>
    <t>2278G0305X</t>
  </si>
  <si>
    <t>Respiratory Therapist, Certified: Geriatric Care</t>
  </si>
  <si>
    <t>2278G1100X</t>
  </si>
  <si>
    <t>Respiratory Therapist, Certified: General Care</t>
  </si>
  <si>
    <t>2278H0200X</t>
  </si>
  <si>
    <t>Respiratory Therapist, Certified: Home Health</t>
  </si>
  <si>
    <t>2278P1004X</t>
  </si>
  <si>
    <t>Respiratory Therapist, Certified: Pulmonary Diagnostics</t>
  </si>
  <si>
    <t>2278P1005X</t>
  </si>
  <si>
    <t>Respiratory Therapist, Certified: Pulmonary Rehabilitation</t>
  </si>
  <si>
    <t>2278P1006X</t>
  </si>
  <si>
    <t>Respiratory Therapist, Certified: Pulmonary Function Technologist</t>
  </si>
  <si>
    <t>2278P3800X</t>
  </si>
  <si>
    <t>Respiratory Therapist, Certified: Palliative/Hospice</t>
  </si>
  <si>
    <t>2278P3900X</t>
  </si>
  <si>
    <t>Respiratory Therapist, Certified: Neonatal/Pediatrics</t>
  </si>
  <si>
    <t>2278P4000X</t>
  </si>
  <si>
    <t>Respiratory Therapist, Certified: Patient Transport</t>
  </si>
  <si>
    <t>2278S1500X</t>
  </si>
  <si>
    <t>Respiratory Therapist, Certified: SNF/Subacute Care</t>
  </si>
  <si>
    <t>227900000X</t>
  </si>
  <si>
    <t>Respiratory Therapist, Registered</t>
  </si>
  <si>
    <t>2279C0205X</t>
  </si>
  <si>
    <t>Respiratory Therapist, Registered: Critical Care</t>
  </si>
  <si>
    <t>2279E0002X</t>
  </si>
  <si>
    <t>Respiratory Therapist, Registered: Emergency Care</t>
  </si>
  <si>
    <t>2279E1000X</t>
  </si>
  <si>
    <t>Respiratory Therapist, Registered: Educational</t>
  </si>
  <si>
    <t>2279G0305X</t>
  </si>
  <si>
    <t>Respiratory Therapist, Registered: Geriatric Care</t>
  </si>
  <si>
    <t>2279G1100X</t>
  </si>
  <si>
    <t>Respiratory Therapist, Registered: General Care</t>
  </si>
  <si>
    <t>2279H0200X</t>
  </si>
  <si>
    <t>Respiratory Therapist, Registered: Home Health</t>
  </si>
  <si>
    <t>2279P1004X</t>
  </si>
  <si>
    <t>Respiratory Therapist, Registered: Pulmonary Diagnostics</t>
  </si>
  <si>
    <t>2279P1005X</t>
  </si>
  <si>
    <t>Respiratory Therapist, Registered: Pulmonary Rehabilitation</t>
  </si>
  <si>
    <t>2279P1006X</t>
  </si>
  <si>
    <t>Respiratory Therapist, Registered: Pulmonary Function Technologist</t>
  </si>
  <si>
    <t>2279P3800X</t>
  </si>
  <si>
    <t>Respiratory Therapist, Registered: Palliative/Hospice</t>
  </si>
  <si>
    <t>2279P3900X</t>
  </si>
  <si>
    <t>Respiratory Therapist, Registered: Neonatal/Pediatrics</t>
  </si>
  <si>
    <t>2279P4000X</t>
  </si>
  <si>
    <t>Respiratory Therapist, Registered: Patient Transport</t>
  </si>
  <si>
    <t>2279S1500X</t>
  </si>
  <si>
    <t>Respiratory Therapist, Registered: SNF/Subacute Care</t>
  </si>
  <si>
    <t>229N00000X</t>
  </si>
  <si>
    <t>Anaplastologist</t>
  </si>
  <si>
    <t>231H00000X</t>
  </si>
  <si>
    <t>Audiologist</t>
  </si>
  <si>
    <t>231HA2400X</t>
  </si>
  <si>
    <t>Audiologist: Assistive Technology Practitioner</t>
  </si>
  <si>
    <t>231HA2500X</t>
  </si>
  <si>
    <t>Audiologist: Assistive Technology Supplier</t>
  </si>
  <si>
    <t>235500000X</t>
  </si>
  <si>
    <t>Specialist/Technologist (Speech &amp; Hearing)</t>
  </si>
  <si>
    <t>2355A2700X</t>
  </si>
  <si>
    <t>Specialist/Technologist: Audiology Assistant</t>
  </si>
  <si>
    <t>2355S0801X</t>
  </si>
  <si>
    <t>Specialist/Technologist: Speech-Language Assistant</t>
  </si>
  <si>
    <t>235Z00000X</t>
  </si>
  <si>
    <t>Speech-Language Pathologist</t>
  </si>
  <si>
    <t>237600000X</t>
  </si>
  <si>
    <t>Audiologist-Hearing Aid Fitter</t>
  </si>
  <si>
    <t>237700000X</t>
  </si>
  <si>
    <t>Hearing Instrument Specialist</t>
  </si>
  <si>
    <t>242T00000X</t>
  </si>
  <si>
    <t>Perfusionist</t>
  </si>
  <si>
    <t>243U00000X</t>
  </si>
  <si>
    <t>Radiology Practitioner Assistant</t>
  </si>
  <si>
    <t>246Q00000X</t>
  </si>
  <si>
    <t>Spec/Tech, Pathology</t>
  </si>
  <si>
    <t>246QB0000X</t>
  </si>
  <si>
    <t>Spec/Tech, Pathology: Blood Banking</t>
  </si>
  <si>
    <t>246QC1000X</t>
  </si>
  <si>
    <t>Spec/Tech, Pathology: Chemistry</t>
  </si>
  <si>
    <t>246QC2700X</t>
  </si>
  <si>
    <t>Spec/Tech, Pathology: Cytotechnology</t>
  </si>
  <si>
    <t>246QH0000X</t>
  </si>
  <si>
    <t>Spec/Tech, Pathology: Hematology</t>
  </si>
  <si>
    <t>246QH0401X</t>
  </si>
  <si>
    <t>Spec/Tech, Pathology: Hemapheresis Practitioner</t>
  </si>
  <si>
    <t>246QH0600X</t>
  </si>
  <si>
    <t>Spec/Tech, Pathology: Histology</t>
  </si>
  <si>
    <t>246QI0000X</t>
  </si>
  <si>
    <t>Spec/Tech, Pathology: Immunology</t>
  </si>
  <si>
    <t>246QL0900X</t>
  </si>
  <si>
    <t>Spec/Tech, Pathology: Laboratory Management</t>
  </si>
  <si>
    <t>246QL0901X</t>
  </si>
  <si>
    <t>Spec/Tech, Pathology: Laboratory Management, Diplomate</t>
  </si>
  <si>
    <t>246QM0706X</t>
  </si>
  <si>
    <t>Spec/Tech, Pathology: Medical Technologist</t>
  </si>
  <si>
    <t>246QM0900X</t>
  </si>
  <si>
    <t>Spec/Tech, Pathology: Microbiology</t>
  </si>
  <si>
    <t>246R00000X</t>
  </si>
  <si>
    <t>Technician, Pathology</t>
  </si>
  <si>
    <t>246RH0600X</t>
  </si>
  <si>
    <t>Technician, Pathology: Histology</t>
  </si>
  <si>
    <t>246RM2200X</t>
  </si>
  <si>
    <t>Technician, Pathology: Medical Laboratory</t>
  </si>
  <si>
    <t>246RP1900X</t>
  </si>
  <si>
    <t>Technician, Pathology: Phlebotomy</t>
  </si>
  <si>
    <t>246W00000X</t>
  </si>
  <si>
    <t>Technician, Cardiology</t>
  </si>
  <si>
    <t>246X00000X</t>
  </si>
  <si>
    <t>Spec/Tech, Cardiovascular</t>
  </si>
  <si>
    <t>246XC2901X</t>
  </si>
  <si>
    <t>Spec/Tech, Cardiovascular: Cardiovascular Invasive Specialist</t>
  </si>
  <si>
    <t>246XC2903X</t>
  </si>
  <si>
    <t>Spec/Tech, Cardiovascular: Vascular Specialist</t>
  </si>
  <si>
    <t>246XS1301X</t>
  </si>
  <si>
    <t>Spec/Tech, Cardiovascular: Sonography</t>
  </si>
  <si>
    <t>246Y00000X</t>
  </si>
  <si>
    <t>Spec/Tech, Health Info</t>
  </si>
  <si>
    <t>246YC3301X</t>
  </si>
  <si>
    <t>Spec/Tech, Health Info: Coding Specialist, Hospital Based</t>
  </si>
  <si>
    <t>246YC3302X</t>
  </si>
  <si>
    <t>Spec/Tech, Health Info: Coding Specialist, Physician Office Based</t>
  </si>
  <si>
    <t>246YR1600X</t>
  </si>
  <si>
    <t>Spec/Tech, Health Info: Registered Record Administrator</t>
  </si>
  <si>
    <t>246Z00000X</t>
  </si>
  <si>
    <t>Specialist/Technologist, Other</t>
  </si>
  <si>
    <t>246ZA2600X</t>
  </si>
  <si>
    <t>Specialist/Technologist, Other: Art, Medical</t>
  </si>
  <si>
    <t>246ZB0301X</t>
  </si>
  <si>
    <t>Specialist/Technologist, Other: Biomedical Engineering</t>
  </si>
  <si>
    <t>246ZB0302X</t>
  </si>
  <si>
    <t>Specialist/Technologist, Other: Biomedical Photographer</t>
  </si>
  <si>
    <t>246ZB0500X</t>
  </si>
  <si>
    <t>Specialist/Technologist, Other: Biochemist</t>
  </si>
  <si>
    <t>246ZB0600X</t>
  </si>
  <si>
    <t>Specialist/Technologist, Other: Biostatistician</t>
  </si>
  <si>
    <t>246ZC0007X</t>
  </si>
  <si>
    <t>Specialist/Technologist, Other: Certified First Assistant</t>
  </si>
  <si>
    <t>246ZE0500X</t>
  </si>
  <si>
    <t>Specialist/Technologist, Other: EEG</t>
  </si>
  <si>
    <t>246ZE0600X</t>
  </si>
  <si>
    <t>Specialist/Technologist, Other: Electroneurodiagnostic</t>
  </si>
  <si>
    <t>246ZG0701X</t>
  </si>
  <si>
    <t>Specialist/Technologist, Other: Graphics Methods</t>
  </si>
  <si>
    <t>246ZG1000X</t>
  </si>
  <si>
    <t>Specialist/Technologist, Other: Geneticist, Medical (PhD)</t>
  </si>
  <si>
    <t>246ZI1000X</t>
  </si>
  <si>
    <t>Specialist/Technologist, Other: Illustration, Medical</t>
  </si>
  <si>
    <t>246ZN0300X</t>
  </si>
  <si>
    <t>Specialist/Technologist, Other: Nephrology</t>
  </si>
  <si>
    <t>246ZS0400X</t>
  </si>
  <si>
    <t>Specialist/Technologist, Other: Surgical</t>
  </si>
  <si>
    <t>246ZS0410X</t>
  </si>
  <si>
    <t>Specialist/Technologist, Other: Surgical Technologist</t>
  </si>
  <si>
    <t>246ZX2200X</t>
  </si>
  <si>
    <t>Specialist/Technologist, Other: Orthopedic Assistant</t>
  </si>
  <si>
    <t>247000000X</t>
  </si>
  <si>
    <t>Technician, Health Information</t>
  </si>
  <si>
    <t>2470A2800X</t>
  </si>
  <si>
    <t>Technician, Health Information: Assistant Record Technician</t>
  </si>
  <si>
    <t>247100000X</t>
  </si>
  <si>
    <t>Radiologic Technologist</t>
  </si>
  <si>
    <t>2471B0102X</t>
  </si>
  <si>
    <t>Radiologic Technologist: Bone Densitometry</t>
  </si>
  <si>
    <t>2471C1101X</t>
  </si>
  <si>
    <t>Radiologic Technologist: Cardiovascular-Interventional Technology</t>
  </si>
  <si>
    <t>2471C1106X</t>
  </si>
  <si>
    <t>Radiologic Technologist: Cardiac-Interventional Technology</t>
  </si>
  <si>
    <t>2471C3401X</t>
  </si>
  <si>
    <t>Radiologic Technologist: Computed Tomography</t>
  </si>
  <si>
    <t>2471C3402X</t>
  </si>
  <si>
    <t>Radiologic Technologist: Radiography</t>
  </si>
  <si>
    <t>2471M1202X</t>
  </si>
  <si>
    <t>Radiologic Technologist: Magnetic Resonance Imaging</t>
  </si>
  <si>
    <t>2471M2300X</t>
  </si>
  <si>
    <t>Radiologic Technologist: Mammography</t>
  </si>
  <si>
    <t>2471N0900X</t>
  </si>
  <si>
    <t>Radiologic Technologist: Nuclear Medicine Technology</t>
  </si>
  <si>
    <t>2471Q0001X</t>
  </si>
  <si>
    <t>Radiologic Technologist: Quality Management</t>
  </si>
  <si>
    <t>2471R0002X</t>
  </si>
  <si>
    <t>Radiologic Technologist: Radiation Therapy</t>
  </si>
  <si>
    <t>2471S1302X</t>
  </si>
  <si>
    <t>Radiologic Technologist: Sonography</t>
  </si>
  <si>
    <t>2471V0105X</t>
  </si>
  <si>
    <t>Radiologic Technologist: Vascular Sonography</t>
  </si>
  <si>
    <t>2471V0106X</t>
  </si>
  <si>
    <t>Radiologic Technologist: Vascular-Interventional Technology</t>
  </si>
  <si>
    <t>247200000X</t>
  </si>
  <si>
    <t>Technician, Other</t>
  </si>
  <si>
    <t>2472B0301X</t>
  </si>
  <si>
    <t>Technician, Other: Biomedical Engineering</t>
  </si>
  <si>
    <t>2472D0500X</t>
  </si>
  <si>
    <t>Technician, Other: Darkroom</t>
  </si>
  <si>
    <t>2472E0500X</t>
  </si>
  <si>
    <t>Technician, Other: EEG</t>
  </si>
  <si>
    <t>2472R0900X</t>
  </si>
  <si>
    <t>Technician, Other: Renal Dialysis</t>
  </si>
  <si>
    <t>2472V0600X</t>
  </si>
  <si>
    <t>Technician, Other: Veterinary</t>
  </si>
  <si>
    <t>247ZC0005X</t>
  </si>
  <si>
    <t>Pathology: Clinical Laboratory Director, Non-physician</t>
  </si>
  <si>
    <t>251300000X</t>
  </si>
  <si>
    <t>Local Education Agency (LEA)</t>
  </si>
  <si>
    <t>251B00000X</t>
  </si>
  <si>
    <t>Case Management</t>
  </si>
  <si>
    <t>251C00000X</t>
  </si>
  <si>
    <t>Day Training, Developmentally Disabled Services</t>
  </si>
  <si>
    <t>251E00000X</t>
  </si>
  <si>
    <t>Home Health</t>
  </si>
  <si>
    <t>251F00000X</t>
  </si>
  <si>
    <t>Home Infusion</t>
  </si>
  <si>
    <t>251G00000X</t>
  </si>
  <si>
    <t>Hospice Care, Community Based</t>
  </si>
  <si>
    <t>251J00000X</t>
  </si>
  <si>
    <t>Nursing Care</t>
  </si>
  <si>
    <t>251K00000X</t>
  </si>
  <si>
    <t>Public Health or Welfare</t>
  </si>
  <si>
    <t>251S00000X</t>
  </si>
  <si>
    <t>Community/Behavioral Health</t>
  </si>
  <si>
    <t>251T00000X</t>
  </si>
  <si>
    <t>PACE Provider Organization</t>
  </si>
  <si>
    <t>251V00000X</t>
  </si>
  <si>
    <t>Voluntary or Charitable</t>
  </si>
  <si>
    <t>251X00000X</t>
  </si>
  <si>
    <t>Supports Brokerage</t>
  </si>
  <si>
    <t>252Y00000X</t>
  </si>
  <si>
    <t>Early Intervention Provider Agency</t>
  </si>
  <si>
    <t>253J00000X</t>
  </si>
  <si>
    <t>Foster Care Agency</t>
  </si>
  <si>
    <t>253Z00000X</t>
  </si>
  <si>
    <t>In Home Supportive Care</t>
  </si>
  <si>
    <t>261Q00000X</t>
  </si>
  <si>
    <t>Clinic/Center</t>
  </si>
  <si>
    <t>261QA0005X</t>
  </si>
  <si>
    <t>Clinic/Center: Ambulatory Family Planning Facility</t>
  </si>
  <si>
    <t>261QA0006X</t>
  </si>
  <si>
    <t>Clinic/Center: Ambulatory Fertility Facility</t>
  </si>
  <si>
    <t>261QA0600X</t>
  </si>
  <si>
    <t>Clinic/Center: Adult Day Care</t>
  </si>
  <si>
    <t>261QA0900X</t>
  </si>
  <si>
    <t>Clinic/Center: Amputee</t>
  </si>
  <si>
    <t>261QA1903X</t>
  </si>
  <si>
    <t>Clinic/Center: Ambulatory Surgical</t>
  </si>
  <si>
    <t>261QA3000X</t>
  </si>
  <si>
    <t>Clinic/Center: Augmentative Communication</t>
  </si>
  <si>
    <t>261QB0400X</t>
  </si>
  <si>
    <t>Clinic/Center: Birthing</t>
  </si>
  <si>
    <t>261QC0050X</t>
  </si>
  <si>
    <t>Clinic/Center: Critical Access Hospital</t>
  </si>
  <si>
    <t>261QC1500X</t>
  </si>
  <si>
    <t>Clinic/Center: Community Health</t>
  </si>
  <si>
    <t>261QC1800X</t>
  </si>
  <si>
    <t>Clinic/Center: Corporate Health</t>
  </si>
  <si>
    <t>261QD0000X</t>
  </si>
  <si>
    <t>Clinic/Center: Dental</t>
  </si>
  <si>
    <t>261QD1600X</t>
  </si>
  <si>
    <t>Clinic/Center: Developmental Disabilities</t>
  </si>
  <si>
    <t>261QE0002X</t>
  </si>
  <si>
    <t>Clinic/Center: Emergency Care</t>
  </si>
  <si>
    <t>261QE0700X</t>
  </si>
  <si>
    <t>Clinic/Center: End-Stage Renal Disease (ESRD) Treatment</t>
  </si>
  <si>
    <t>261QE0800X</t>
  </si>
  <si>
    <t>Clinic/Center: Endoscopy</t>
  </si>
  <si>
    <t>261QF0050X</t>
  </si>
  <si>
    <t>Clinic/Center: Family Planning, Non-Surgical</t>
  </si>
  <si>
    <t>261QF0400X</t>
  </si>
  <si>
    <t>Clinic/Center: Federally Qualified Health Center (FQHC)</t>
  </si>
  <si>
    <t>261QG0250X</t>
  </si>
  <si>
    <t>Clinic/Center: Genetics</t>
  </si>
  <si>
    <t>261QH0100X</t>
  </si>
  <si>
    <t>Clinic/Center: Health Service</t>
  </si>
  <si>
    <t>261QH0700X</t>
  </si>
  <si>
    <t>Clinic/Center: Hearing and Speech</t>
  </si>
  <si>
    <t>261QI0500X</t>
  </si>
  <si>
    <t>Clinic/Center: Infusion Therapy</t>
  </si>
  <si>
    <t>261QL0400X</t>
  </si>
  <si>
    <t>Clinic/Center: Lithotripsy</t>
  </si>
  <si>
    <t>261QM0801X</t>
  </si>
  <si>
    <t>Clinic/Center: Mental Health (Including Community Mental Health Center)</t>
  </si>
  <si>
    <t>261QM0850X</t>
  </si>
  <si>
    <t>Clinic/Center: Adult Mental Health</t>
  </si>
  <si>
    <t>261QM0855X</t>
  </si>
  <si>
    <t>Clinic/Center: Adolescent and Children Mental Health</t>
  </si>
  <si>
    <t>261QM1000X</t>
  </si>
  <si>
    <t>Clinic/Center: Migrant Health</t>
  </si>
  <si>
    <t>261QM1100X</t>
  </si>
  <si>
    <t>Clinic/Center: Military/U.S. Coast Guard Outpatient</t>
  </si>
  <si>
    <t>261QM1101X</t>
  </si>
  <si>
    <t>Clinic/Center: Military and U.S. Coast Guard Ambulatory Procedure</t>
  </si>
  <si>
    <t>261QM1102X</t>
  </si>
  <si>
    <t>Clinic/Center: Military Outpatient Operational (Transportable) Component</t>
  </si>
  <si>
    <t>261QM1103X</t>
  </si>
  <si>
    <t>Clinic/Center: Military Ambulatory Procedure Visits Operational (Transportable)</t>
  </si>
  <si>
    <t>261QM1200X</t>
  </si>
  <si>
    <t>Clinic/Center: Magnetic Resonance Imaging (MRI)</t>
  </si>
  <si>
    <t>261QM1300X</t>
  </si>
  <si>
    <t>Clinic/Center: Multi-Specialty</t>
  </si>
  <si>
    <t>261QM2500X</t>
  </si>
  <si>
    <t>Clinic/Center: Medical Specialty</t>
  </si>
  <si>
    <t>261QM2800X</t>
  </si>
  <si>
    <t>Clinic/Center: Methadone Clinic</t>
  </si>
  <si>
    <t>261QM3000X</t>
  </si>
  <si>
    <t>Clinic/Center: Medically Fragile Infants and Children Day Care</t>
  </si>
  <si>
    <t>261QP0904X</t>
  </si>
  <si>
    <t>Clinic/Center: Public Health, Federal</t>
  </si>
  <si>
    <t>261QP0905X</t>
  </si>
  <si>
    <t>Clinic/Center: Public Health, State or Local</t>
  </si>
  <si>
    <t>261QP1100X</t>
  </si>
  <si>
    <t>Clinic/Center: Podiatric</t>
  </si>
  <si>
    <t>261QP2000X</t>
  </si>
  <si>
    <t>Clinic/Center: Physical Therapy</t>
  </si>
  <si>
    <t>261QP2300X</t>
  </si>
  <si>
    <t>Clinic/Center: Primary Care</t>
  </si>
  <si>
    <t>261QP2400X</t>
  </si>
  <si>
    <t>Clinic/Center: Prison Health</t>
  </si>
  <si>
    <t>261QP3300X</t>
  </si>
  <si>
    <t>Clinic/Center: Pain</t>
  </si>
  <si>
    <t>261QR0200X</t>
  </si>
  <si>
    <t>Clinic/Center: Radiology</t>
  </si>
  <si>
    <t>261QR0206X</t>
  </si>
  <si>
    <t>Clinic/Center: Radiology, Mammography</t>
  </si>
  <si>
    <t>261QR0207X</t>
  </si>
  <si>
    <t>Clinic/Center: Radiology, Mobile Mammography</t>
  </si>
  <si>
    <t>261QR0208X</t>
  </si>
  <si>
    <t>Clinic/Center: Radiology, Mobile</t>
  </si>
  <si>
    <t>261QR0400X</t>
  </si>
  <si>
    <t>Clinic/Center: Rehabilitation</t>
  </si>
  <si>
    <t>261QR0401X</t>
  </si>
  <si>
    <t>Clinic/Center: Rehabilitation, Comprehensive Outpatient Rehabilitation Facility (CORF)</t>
  </si>
  <si>
    <t>261QR0404X</t>
  </si>
  <si>
    <t>Clinic/Center: Rehabilitation, Cardiac Facilities</t>
  </si>
  <si>
    <t>261QR0405X</t>
  </si>
  <si>
    <t>Clinic/Center: Rehabilitation, Substance Use Disorder</t>
  </si>
  <si>
    <t>261QR0800X</t>
  </si>
  <si>
    <t>Clinic/Center: Recovery Care</t>
  </si>
  <si>
    <t>261QR1100X</t>
  </si>
  <si>
    <t>Clinic/Center: Research</t>
  </si>
  <si>
    <t>261QR1300X</t>
  </si>
  <si>
    <t>Clinic/Center: Rural Health</t>
  </si>
  <si>
    <t>261QS0112X</t>
  </si>
  <si>
    <t>Clinic/Center: Oral and Maxillofacial Surgery</t>
  </si>
  <si>
    <t>261QS0132X</t>
  </si>
  <si>
    <t>Clinic/Center: Ophthalmologic Surgery</t>
  </si>
  <si>
    <t>261QS1000X</t>
  </si>
  <si>
    <t>Clinic/Center: Student Health</t>
  </si>
  <si>
    <t>261QS1200X</t>
  </si>
  <si>
    <t>Clinic/Center: Sleep Disorder Diagnostic</t>
  </si>
  <si>
    <t>261QU0200X</t>
  </si>
  <si>
    <t>Clinic/Center: Urgent Care</t>
  </si>
  <si>
    <t>261QV0200X</t>
  </si>
  <si>
    <t>Clinic/Center: VA</t>
  </si>
  <si>
    <t>261QX0100X</t>
  </si>
  <si>
    <t>Clinic/Center: Occupational Medicine</t>
  </si>
  <si>
    <t>261QX0200X</t>
  </si>
  <si>
    <t>Clinic/Center: Oncology</t>
  </si>
  <si>
    <t>261QX0203X</t>
  </si>
  <si>
    <t>Clinic/Center: Oncology, Radiation</t>
  </si>
  <si>
    <t>273100000X</t>
  </si>
  <si>
    <t>Epilepsy Unit</t>
  </si>
  <si>
    <t>273R00000X</t>
  </si>
  <si>
    <t>Psychiatric Unit</t>
  </si>
  <si>
    <t>273Y00000X</t>
  </si>
  <si>
    <t>Rehabilitation Unit</t>
  </si>
  <si>
    <t>275N00000X</t>
  </si>
  <si>
    <t>Medicare Defined Swing Bed Unit</t>
  </si>
  <si>
    <t>276400000X</t>
  </si>
  <si>
    <t>Rehabilitation, Substance Use Disorder Unit</t>
  </si>
  <si>
    <t>281P00000X</t>
  </si>
  <si>
    <t>Chronic Disease Hospital</t>
  </si>
  <si>
    <t>281PC2000X</t>
  </si>
  <si>
    <t>Chronic Disease Hospital: Children</t>
  </si>
  <si>
    <t>282E00000X</t>
  </si>
  <si>
    <t>Long Term Care Hospital</t>
  </si>
  <si>
    <t>282J00000X</t>
  </si>
  <si>
    <t>Religious Nonmedical Health Care Institution</t>
  </si>
  <si>
    <t>282N00000X</t>
  </si>
  <si>
    <t>General Acute Care Hospital</t>
  </si>
  <si>
    <t>282NC0060X</t>
  </si>
  <si>
    <t>General Acute Care Hospital: Critical Access</t>
  </si>
  <si>
    <t>282NC2000X</t>
  </si>
  <si>
    <t>General Acute Care Hospital: Children</t>
  </si>
  <si>
    <t>282NR1301X</t>
  </si>
  <si>
    <t>General Acute Care Hospital: Rural</t>
  </si>
  <si>
    <t>282NW0100X</t>
  </si>
  <si>
    <t>General Acute Care Hospital: Women</t>
  </si>
  <si>
    <t>283Q00000X</t>
  </si>
  <si>
    <t>Psychiatric Hospital</t>
  </si>
  <si>
    <t>283X00000X</t>
  </si>
  <si>
    <t>Rehabilitation Hospital</t>
  </si>
  <si>
    <t>283XC2000X</t>
  </si>
  <si>
    <t>Rehabilitation Hospital: Children</t>
  </si>
  <si>
    <t>284300000X</t>
  </si>
  <si>
    <t>Special Hospital</t>
  </si>
  <si>
    <t>286500000X</t>
  </si>
  <si>
    <t>Military Hospital</t>
  </si>
  <si>
    <t>2865C1500X</t>
  </si>
  <si>
    <t>Military Hospital: Community Health</t>
  </si>
  <si>
    <t>2865M2000X</t>
  </si>
  <si>
    <t>Military Hospital: Military General Acute Care Hospital</t>
  </si>
  <si>
    <t>2865X1600X</t>
  </si>
  <si>
    <t>Military Hospital: Military General Acute Care Hospital. Operational (Transportable)</t>
  </si>
  <si>
    <t>287300000X</t>
  </si>
  <si>
    <t>Christian Science Sanitorium</t>
  </si>
  <si>
    <t>291900000X</t>
  </si>
  <si>
    <t>Military Clinical Medical Laboratory</t>
  </si>
  <si>
    <t>291U00000X</t>
  </si>
  <si>
    <t>Clinical Medical Laboratory</t>
  </si>
  <si>
    <t>292200000X</t>
  </si>
  <si>
    <t>Dental Laboratory</t>
  </si>
  <si>
    <t>293D00000X</t>
  </si>
  <si>
    <t>Physiological Laboratory</t>
  </si>
  <si>
    <t>302F00000X</t>
  </si>
  <si>
    <t>Exclusive Provider Organization</t>
  </si>
  <si>
    <t>302R00000X</t>
  </si>
  <si>
    <t>Health Maintenance Organization</t>
  </si>
  <si>
    <t>305R00000X</t>
  </si>
  <si>
    <t>Preferred Provider Organization</t>
  </si>
  <si>
    <t>305S00000X</t>
  </si>
  <si>
    <t>Point of Service</t>
  </si>
  <si>
    <t>310400000X</t>
  </si>
  <si>
    <t>Assisted Living Facility</t>
  </si>
  <si>
    <t>3104A0625X</t>
  </si>
  <si>
    <t>Assisted Living Facility: Assisted Living, Mental Illness</t>
  </si>
  <si>
    <t>3104A0630X</t>
  </si>
  <si>
    <t>Assisted Living Facility: Assisted Living, Behavioral Disturbances</t>
  </si>
  <si>
    <t>310500000X</t>
  </si>
  <si>
    <t>Intermediate Care Facility, Mental Illness</t>
  </si>
  <si>
    <t>311500000X</t>
  </si>
  <si>
    <t>Alzheimer Center (Dementia Center)</t>
  </si>
  <si>
    <t>311Z00000X</t>
  </si>
  <si>
    <t>Custodial Care Facility</t>
  </si>
  <si>
    <t>311ZA0620X</t>
  </si>
  <si>
    <t>Custodial Care Facility: Adult Care Home</t>
  </si>
  <si>
    <t>313M00000X</t>
  </si>
  <si>
    <t>Nursing Facility/Intermediate Care Facility</t>
  </si>
  <si>
    <t>314000000X</t>
  </si>
  <si>
    <t>Skilled Nursing Facility</t>
  </si>
  <si>
    <t>3140N1450X</t>
  </si>
  <si>
    <t>Skilled Nursing Facility: Nursing Care, Pediatric</t>
  </si>
  <si>
    <t>315D00000X</t>
  </si>
  <si>
    <t>Hospice, Inpatient</t>
  </si>
  <si>
    <t>315P00000X</t>
  </si>
  <si>
    <t>Intermediate Care Facility, Mentally Retarded</t>
  </si>
  <si>
    <t>317400000X</t>
  </si>
  <si>
    <t>Christian Science Facility</t>
  </si>
  <si>
    <t>320600000X</t>
  </si>
  <si>
    <t>Residential Treatment Facility, Mental Retardation and/or Developmental Disabilities</t>
  </si>
  <si>
    <t>320700000X</t>
  </si>
  <si>
    <t>Residential Treatment Facility, Physical Disabilities</t>
  </si>
  <si>
    <t>320800000X</t>
  </si>
  <si>
    <t>Community Based Residential Treatment Facility, Mental Illness</t>
  </si>
  <si>
    <t>320900000X</t>
  </si>
  <si>
    <t>Community Based Residential Treatment, Mental Retardation and/or Developmental Disabilities</t>
  </si>
  <si>
    <t>322D00000X</t>
  </si>
  <si>
    <t>Residential Treatment Facility, Emotionally Disturbed Children</t>
  </si>
  <si>
    <t>323P00000X</t>
  </si>
  <si>
    <t>Psychiatric Residential Treatment Facility</t>
  </si>
  <si>
    <t>324500000X</t>
  </si>
  <si>
    <t>Substance Abuse Rehabilitation Facility</t>
  </si>
  <si>
    <t>3245S0500X</t>
  </si>
  <si>
    <t>Substance Abuse Rehabilitation Facility: Substance Abuse Treatment, Children</t>
  </si>
  <si>
    <t>331L00000X</t>
  </si>
  <si>
    <t>Blood Bank</t>
  </si>
  <si>
    <t>332000000X</t>
  </si>
  <si>
    <t>Military/U.S. Coast Guard Pharmacy</t>
  </si>
  <si>
    <t>332100000X</t>
  </si>
  <si>
    <t>Department of Veterans Affairs (VA) Pharmacy</t>
  </si>
  <si>
    <t>332800000X</t>
  </si>
  <si>
    <t>Indian Health Service/Tribal/Urban Indian Health (I/T/U) Pharmacy</t>
  </si>
  <si>
    <t>332900000X</t>
  </si>
  <si>
    <t>Non-Pharmacy Dispensing Site</t>
  </si>
  <si>
    <t>332B00000X</t>
  </si>
  <si>
    <t>Durable Medical Equipment &amp; Medical Supplies</t>
  </si>
  <si>
    <t>332BC3200X</t>
  </si>
  <si>
    <t>Durable Medical Equipment &amp; Medical Supplies: Customized Equipment</t>
  </si>
  <si>
    <t>332BD1200X</t>
  </si>
  <si>
    <t>Durable Medical Equipment &amp; Medical Supplies: Dialysis Equipment &amp; Supplies</t>
  </si>
  <si>
    <t>332BN1400X</t>
  </si>
  <si>
    <t>Durable Medical Equipment &amp; Medical Supplies: Nursing Facility Supplies</t>
  </si>
  <si>
    <t>332BP3500X</t>
  </si>
  <si>
    <t>Durable Medical Equipment &amp; Medical Supplies: Parenteral &amp; Enteral Nutrition</t>
  </si>
  <si>
    <t>332BX2000X</t>
  </si>
  <si>
    <t>Durable Medical Equipment &amp; Medical Supplies: Oxygen Equipment &amp; Supplies</t>
  </si>
  <si>
    <t>332G00000X</t>
  </si>
  <si>
    <t>Eye Bank</t>
  </si>
  <si>
    <t>332H00000X</t>
  </si>
  <si>
    <t>Eyewear Supplier (Equipment, not the service)</t>
  </si>
  <si>
    <t>332S00000X</t>
  </si>
  <si>
    <t>Hearing Aid Equipment</t>
  </si>
  <si>
    <t>332U00000X</t>
  </si>
  <si>
    <t>Home Delivered Meals</t>
  </si>
  <si>
    <t>333300000X</t>
  </si>
  <si>
    <t>Emergency Response System Companies</t>
  </si>
  <si>
    <t>333600000X</t>
  </si>
  <si>
    <t>Pharmacy</t>
  </si>
  <si>
    <t>3336C0002X</t>
  </si>
  <si>
    <t>Pharmacy: Clinic Pharmacy</t>
  </si>
  <si>
    <t>3336C0003X</t>
  </si>
  <si>
    <t>Pharmacy: Community/Retail Pharmacy</t>
  </si>
  <si>
    <t>3336C0004X</t>
  </si>
  <si>
    <t>Pharmacy: Compounding Pharmacy</t>
  </si>
  <si>
    <t>3336H0001X</t>
  </si>
  <si>
    <t>Pharmacy: Home Infusion Therapy Pharmacy</t>
  </si>
  <si>
    <t>3336I0012X</t>
  </si>
  <si>
    <t>Pharmacy: Institutional Pharmacy</t>
  </si>
  <si>
    <t>3336L0003X</t>
  </si>
  <si>
    <t>Pharmacy: Long Term Care Pharmacy</t>
  </si>
  <si>
    <t>3336M0002X</t>
  </si>
  <si>
    <t>Pharmacy: Mail Order Pharmacy</t>
  </si>
  <si>
    <t>3336M0003X</t>
  </si>
  <si>
    <t>Pharmacy: Managed Care Organization Pharmacy</t>
  </si>
  <si>
    <t>3336N0007X</t>
  </si>
  <si>
    <t>Pharmacy: Nuclear Pharmacy</t>
  </si>
  <si>
    <t>3336S0011X</t>
  </si>
  <si>
    <t>Pharmacy: Specialty Pharmacy</t>
  </si>
  <si>
    <t>335E00000X</t>
  </si>
  <si>
    <t>Prosthetic/Orthotic Supplier</t>
  </si>
  <si>
    <t>335G00000X</t>
  </si>
  <si>
    <t>Medical Foods Supplier</t>
  </si>
  <si>
    <t>335U00000X</t>
  </si>
  <si>
    <t>Organ Procurement Organization</t>
  </si>
  <si>
    <t>335V00000X</t>
  </si>
  <si>
    <t>Portable X-ray and/or Other Portable Diagnostic Imaging Supplier</t>
  </si>
  <si>
    <t>341600000X</t>
  </si>
  <si>
    <t>Ambulance</t>
  </si>
  <si>
    <t>3416A0800X</t>
  </si>
  <si>
    <t>Ambulance: Air Transport</t>
  </si>
  <si>
    <t>3416L0300X</t>
  </si>
  <si>
    <t>Ambulance: Land Transport</t>
  </si>
  <si>
    <t>3416S0300X</t>
  </si>
  <si>
    <t>Ambulance: Water Transport</t>
  </si>
  <si>
    <t>341800000X</t>
  </si>
  <si>
    <t>Military/U.S. Coast Guard Transport</t>
  </si>
  <si>
    <t>3418M1110X</t>
  </si>
  <si>
    <t>Military/U.S. Coast Guard Transport: Military or U.S. Coast Guard Ambulance, Ground Transport</t>
  </si>
  <si>
    <t>3418M1120X</t>
  </si>
  <si>
    <t>Military/U.S. Coast Guard Transport: Military or U.S. Coast Guard Ambulance, Air Transport</t>
  </si>
  <si>
    <t>3418M1130X</t>
  </si>
  <si>
    <t>Military/U.S. Coast Guard Transport: Military or U.S. Coast Guard Ambulance, Water Transport</t>
  </si>
  <si>
    <t>342000000X</t>
  </si>
  <si>
    <t>Transportation Network Company</t>
  </si>
  <si>
    <t>343800000X</t>
  </si>
  <si>
    <t>Secured Medical Transport (VAN)</t>
  </si>
  <si>
    <t>343900000X</t>
  </si>
  <si>
    <t>Non-emergency Medical Transport (VAN)</t>
  </si>
  <si>
    <t>344600000X</t>
  </si>
  <si>
    <t>Taxi</t>
  </si>
  <si>
    <t>344800000X</t>
  </si>
  <si>
    <t>Air Carrier</t>
  </si>
  <si>
    <t>347B00000X</t>
  </si>
  <si>
    <t>Bus</t>
  </si>
  <si>
    <t>347C00000X</t>
  </si>
  <si>
    <t>Private Vehicle</t>
  </si>
  <si>
    <t>347D00000X</t>
  </si>
  <si>
    <t>Train</t>
  </si>
  <si>
    <t>347E00000X</t>
  </si>
  <si>
    <t>Transportation Broker</t>
  </si>
  <si>
    <t>363A00000X</t>
  </si>
  <si>
    <t>Physician Assistant</t>
  </si>
  <si>
    <t>363AM0700X</t>
  </si>
  <si>
    <t>Physician Assistant: Medical</t>
  </si>
  <si>
    <t>363AS0400X</t>
  </si>
  <si>
    <t>Physician Assistant: Surgical</t>
  </si>
  <si>
    <t>363L00000X</t>
  </si>
  <si>
    <t>Nurse Practitioner</t>
  </si>
  <si>
    <t>363LA2100X</t>
  </si>
  <si>
    <t>Nurse Practitioner: Acute Care</t>
  </si>
  <si>
    <t>363LA2200X</t>
  </si>
  <si>
    <t>Nurse Practitioner: Adult Health</t>
  </si>
  <si>
    <t>363LC0200X</t>
  </si>
  <si>
    <t>Nurse Practitioner: Critical Care Medicine</t>
  </si>
  <si>
    <t>363LC1500X</t>
  </si>
  <si>
    <t>Nurse Practitioner: Community Health</t>
  </si>
  <si>
    <t>363LF0000X</t>
  </si>
  <si>
    <t>Nurse Practitioner: Family</t>
  </si>
  <si>
    <t>363LG0600X</t>
  </si>
  <si>
    <t>Nurse Practitioner: Gerontology</t>
  </si>
  <si>
    <t>363LN0000X</t>
  </si>
  <si>
    <t>Nurse Practitioner: Neonatal</t>
  </si>
  <si>
    <t>363LN0005X</t>
  </si>
  <si>
    <t>Nurse Practitioner: Neonatal, Critical Care</t>
  </si>
  <si>
    <t>363LP0200X</t>
  </si>
  <si>
    <t>Nurse Practitioner: Pediatrics</t>
  </si>
  <si>
    <t>363LP0222X</t>
  </si>
  <si>
    <t>Nurse Practitioner: Pediatrics, Critical Care</t>
  </si>
  <si>
    <t>363LP0808X</t>
  </si>
  <si>
    <t>Nurse Practitioner: Psych/Mental Health</t>
  </si>
  <si>
    <t>363LP1700X</t>
  </si>
  <si>
    <t>Nurse Practitioner: Perinatal</t>
  </si>
  <si>
    <t>363LP2300X</t>
  </si>
  <si>
    <t>Nurse Practitioner: Primary Care</t>
  </si>
  <si>
    <t>363LS0200X</t>
  </si>
  <si>
    <t>Nurse Practitioner: School</t>
  </si>
  <si>
    <t>363LW0102X</t>
  </si>
  <si>
    <t>Nurse Practitioner: Womens Health</t>
  </si>
  <si>
    <t>363LX0001X</t>
  </si>
  <si>
    <t>Nurse Practitioner: Obstetrics &amp; Gynecology</t>
  </si>
  <si>
    <t>363LX0106X</t>
  </si>
  <si>
    <t>Nurse Practitioner: Occupational Health</t>
  </si>
  <si>
    <t>364S00000X</t>
  </si>
  <si>
    <t>Clinical Nurse Specialist</t>
  </si>
  <si>
    <t>364SA2100X</t>
  </si>
  <si>
    <t>Clinical Nurse Specialist: Acute Care</t>
  </si>
  <si>
    <t>364SA2200X</t>
  </si>
  <si>
    <t>Clinical Nurse Specialist: Adult Health</t>
  </si>
  <si>
    <t>364SC0200X</t>
  </si>
  <si>
    <t>Clinical Nurse Specialist: Critical Care Medicine</t>
  </si>
  <si>
    <t>364SC1501X</t>
  </si>
  <si>
    <t>Clinical Nurse Specialist: Community Health/Public Health</t>
  </si>
  <si>
    <t>364SC2300X</t>
  </si>
  <si>
    <t>Clinical Nurse Specialist: Chronic Care</t>
  </si>
  <si>
    <t>364SE0003X</t>
  </si>
  <si>
    <t>Clinical Nurse Specialist: Emergency</t>
  </si>
  <si>
    <t>364SE1400X</t>
  </si>
  <si>
    <t>Clinical Nurse Specialist: Ethics</t>
  </si>
  <si>
    <t>364SF0001X</t>
  </si>
  <si>
    <t>Clinical Nurse Specialist: Family Health</t>
  </si>
  <si>
    <t>364SG0600X</t>
  </si>
  <si>
    <t>Clinical Nurse Specialist: Gerontology</t>
  </si>
  <si>
    <t>364SH0200X</t>
  </si>
  <si>
    <t>Clinical Nurse Specialist: Home Health</t>
  </si>
  <si>
    <t>364SH1100X</t>
  </si>
  <si>
    <t>Clinical Nurse Specialist: Holistic</t>
  </si>
  <si>
    <t>364SI0800X</t>
  </si>
  <si>
    <t>Clinical Nurse Specialist: Informatics</t>
  </si>
  <si>
    <t>364SL0600X</t>
  </si>
  <si>
    <t>Clinical Nurse Specialist: Long-Term Care</t>
  </si>
  <si>
    <t>364SM0705X</t>
  </si>
  <si>
    <t>Clinical Nurse Specialist: Medical-Surgical</t>
  </si>
  <si>
    <t>364SN0000X</t>
  </si>
  <si>
    <t>Clinical Nurse Specialist: Neonatal</t>
  </si>
  <si>
    <t>364SN0800X</t>
  </si>
  <si>
    <t>Clinical Nurse Specialist: Neuroscience</t>
  </si>
  <si>
    <t>364SP0200X</t>
  </si>
  <si>
    <t>Clinical Nurse Specialist: Pediatrics</t>
  </si>
  <si>
    <t>364SP0807X</t>
  </si>
  <si>
    <t>Clinical Nurse Specialist: Psych/Mental Health, Child &amp; Adolescent</t>
  </si>
  <si>
    <t>364SP0808X</t>
  </si>
  <si>
    <t>Clinical Nurse Specialist: Psych/Mental Health</t>
  </si>
  <si>
    <t>364SP0809X</t>
  </si>
  <si>
    <t>Clinical Nurse Specialist: Psych/Mental Health, Adult</t>
  </si>
  <si>
    <t>364SP0810X</t>
  </si>
  <si>
    <t>Clinical Nurse Specialist: Psych/Mental Health, Child &amp; Family</t>
  </si>
  <si>
    <t>364SP0811X</t>
  </si>
  <si>
    <t>Clinical Nurse Specialist: Psych/Mental Health, Chronically Ill</t>
  </si>
  <si>
    <t>364SP0812X</t>
  </si>
  <si>
    <t>Clinical Nurse Specialist: Psych/Mental Health, Community</t>
  </si>
  <si>
    <t>364SP0813X</t>
  </si>
  <si>
    <t>Clinical Nurse Specialist: Psych/Mental Health, Geropsychiatric</t>
  </si>
  <si>
    <t>364SP1700X</t>
  </si>
  <si>
    <t>Clinical Nurse Specialist: Perinatal</t>
  </si>
  <si>
    <t>364SP2800X</t>
  </si>
  <si>
    <t>Clinical Nurse Specialist: Perioperative</t>
  </si>
  <si>
    <t>364SR0400X</t>
  </si>
  <si>
    <t>Clinical Nurse Specialist: Rehabilitation</t>
  </si>
  <si>
    <t>364SS0200X</t>
  </si>
  <si>
    <t>Clinical Nurse Specialist: School</t>
  </si>
  <si>
    <t>364ST0500X</t>
  </si>
  <si>
    <t>Clinical Nurse Specialist: Transplantation</t>
  </si>
  <si>
    <t>364SW0102X</t>
  </si>
  <si>
    <t>Clinical Nurse Specialist: Womens Health</t>
  </si>
  <si>
    <t>364SX0106X</t>
  </si>
  <si>
    <t>Clinical Nurse Specialist: Occupational Health</t>
  </si>
  <si>
    <t>364SX0200X</t>
  </si>
  <si>
    <t>Clinical Nurse Specialist: Oncology</t>
  </si>
  <si>
    <t>364SX0204X</t>
  </si>
  <si>
    <t>Clinical Nurse Specialist: Oncology, Pediatrics</t>
  </si>
  <si>
    <t>367500000X</t>
  </si>
  <si>
    <t>Nurse Anesthetist, Certified Registered</t>
  </si>
  <si>
    <t>367A00000X</t>
  </si>
  <si>
    <t>Advanced Practice Midwife</t>
  </si>
  <si>
    <t>367H00000X</t>
  </si>
  <si>
    <t>Anesthesiologist Assistant</t>
  </si>
  <si>
    <t>372500000X</t>
  </si>
  <si>
    <t>Chore Provider</t>
  </si>
  <si>
    <t>372600000X</t>
  </si>
  <si>
    <t>Adult Companion</t>
  </si>
  <si>
    <t>373H00000X</t>
  </si>
  <si>
    <t>Day Training/Habilitation Specialist</t>
  </si>
  <si>
    <t>374700000X</t>
  </si>
  <si>
    <t>Technician</t>
  </si>
  <si>
    <t>3747A0650X</t>
  </si>
  <si>
    <t>Technician: Attendant Care Provider</t>
  </si>
  <si>
    <t>3747P1801X</t>
  </si>
  <si>
    <t>Technician: Personal Care Attendant</t>
  </si>
  <si>
    <t>374J00000X</t>
  </si>
  <si>
    <t>Doula</t>
  </si>
  <si>
    <t>374K00000X</t>
  </si>
  <si>
    <t>Religious Nonmedical Practitioner</t>
  </si>
  <si>
    <t>374T00000X</t>
  </si>
  <si>
    <t>Christian Science Practitioner/Nurse</t>
  </si>
  <si>
    <t>374U00000X</t>
  </si>
  <si>
    <t>Home Health Aide</t>
  </si>
  <si>
    <t>376G00000X</t>
  </si>
  <si>
    <t>Nursing Home Administrator</t>
  </si>
  <si>
    <t>376J00000X</t>
  </si>
  <si>
    <t>Homemaker</t>
  </si>
  <si>
    <t>376K00000X</t>
  </si>
  <si>
    <t>Nurses  Aide</t>
  </si>
  <si>
    <t>385H00000X</t>
  </si>
  <si>
    <t>Respite Care</t>
  </si>
  <si>
    <t>385HR2050X</t>
  </si>
  <si>
    <t>Respite Care: Respite Care Camp</t>
  </si>
  <si>
    <t>385HR2055X</t>
  </si>
  <si>
    <t>Respite Care: Respite Care, Mental Illness, Child</t>
  </si>
  <si>
    <t>385HR2060X</t>
  </si>
  <si>
    <t>Respite Care: Respite Care, Mental Retardation and/or Developmental Disabilities, Child</t>
  </si>
  <si>
    <t>385HR2065X</t>
  </si>
  <si>
    <t>Respite Care: Respite Care, Physical Disabilities, Child</t>
  </si>
  <si>
    <t>390200000X</t>
  </si>
  <si>
    <t>Student in an Organized Health Care Education/Training Program</t>
  </si>
  <si>
    <t>405300000X</t>
  </si>
  <si>
    <t>Prevention Professional</t>
  </si>
  <si>
    <t>Provider Type Code</t>
  </si>
  <si>
    <t>Provider Specialty Code</t>
  </si>
  <si>
    <t>Provider Type Description</t>
  </si>
  <si>
    <t>Provider Specialty Description</t>
  </si>
  <si>
    <t>Taxonomy Code</t>
  </si>
  <si>
    <t>Taxonomy Description</t>
  </si>
  <si>
    <t>GENERAL HOSPITAL</t>
  </si>
  <si>
    <t>HOSPITAL WITH BIRTH/DELIVERY SERVICES</t>
  </si>
  <si>
    <t>GENERAL ACUTE CARE HOSPITAL</t>
  </si>
  <si>
    <t>GENERAL ACUTE CARE HOSPITAL - WOMEN</t>
  </si>
  <si>
    <t>SPECIAL HOSPITAL</t>
  </si>
  <si>
    <t>EMERGENCY SERVICES</t>
  </si>
  <si>
    <t>PSYCHIATRIC COMMUNITY HOSPITAL/CSU CAP ONLY ADULT</t>
  </si>
  <si>
    <t>PSYCHIATRIC COMMUNITY HOSPITAL/CSU CAP ONLY CHILD</t>
  </si>
  <si>
    <t>CLINIC/CENTER - CRITICAL ACCESS HOSPITAL</t>
  </si>
  <si>
    <t>EPILEPSY UNIT</t>
  </si>
  <si>
    <t>PSYCHIATRIC UNIT</t>
  </si>
  <si>
    <t>REHABILITATION UNIT</t>
  </si>
  <si>
    <t>REHABILITATION, SUBSTANCE USE DISORDER UNIT</t>
  </si>
  <si>
    <t>GENERAL ACUTE CARE HOSPITAL - CRITICAL ACCESS</t>
  </si>
  <si>
    <t>GENERAL ACUTE CARE HOSPITAL - CHILDREN</t>
  </si>
  <si>
    <t>GENERAL ACUTE CARE HOSPITAL - RURAL</t>
  </si>
  <si>
    <t>STATE MENTAL HOSPITAL</t>
  </si>
  <si>
    <t>PSYCHIATRIC HOSPITAL</t>
  </si>
  <si>
    <t>COMMUNITY BEHAVIORAL HEALTH SERVICES</t>
  </si>
  <si>
    <t>COMMUNITY MENTAL HEALTH SERVICES</t>
  </si>
  <si>
    <t>COMMUNITY/BEHAVIORAL HEALTH</t>
  </si>
  <si>
    <t>CLINIC/CENTER - COMMUNITY HEALTH</t>
  </si>
  <si>
    <t>CLINIC/CENTER - MENTAL HEALTH (INCLUDING COMMUNITY MENTAL HEALTH CENTER)</t>
  </si>
  <si>
    <t>CLINIC/CENTER - ADULT MENTAL HEALTH</t>
  </si>
  <si>
    <t>CLINIC/CENTER - ADOLESCENT AND CHILDREN MENTAL HEALTH</t>
  </si>
  <si>
    <t>AMBULATORY HEALTH CARE FACILITY</t>
  </si>
  <si>
    <t>AMBULATORY SURGERY CENTER</t>
  </si>
  <si>
    <t>CLINIC/CENTER</t>
  </si>
  <si>
    <t>CLINIC/CENTER - AMBULATORY FAMILY PLANNING FACILITY</t>
  </si>
  <si>
    <t>CLINIC/CENTER - AMBULATORY FERTILITY FACILITY</t>
  </si>
  <si>
    <t>CLINIC/CENTER - AMBULATORY SURGICAL</t>
  </si>
  <si>
    <t>CLINIC/CENTER - DENTAL</t>
  </si>
  <si>
    <t>CLINIC/CENTER - ENDOSCOPY</t>
  </si>
  <si>
    <t>CLINIC/CENTER - FAMILY PLANNING, NON-SURGICAL</t>
  </si>
  <si>
    <t>CLINIC/CENTER - GENETICS</t>
  </si>
  <si>
    <t>CLINIC/CENTER - LITHOTRIPSY</t>
  </si>
  <si>
    <t>SPECIALIZED THERAPEUTIC SERVICES</t>
  </si>
  <si>
    <t>COMPREHENSIVE BEHAVIORAL HEALTH ASSESSMENT</t>
  </si>
  <si>
    <t>COUNSELOR - MENTAL HEALTH</t>
  </si>
  <si>
    <t>PSYCHOLOGIST</t>
  </si>
  <si>
    <t>SPECIALIZED THERAPEUTIC FOSTER CARE</t>
  </si>
  <si>
    <t>FOSTER CARE AGENCY</t>
  </si>
  <si>
    <t>SCHOOL DISTRICT</t>
  </si>
  <si>
    <t>LOCAL EDUCATION AGENCY (LEA)</t>
  </si>
  <si>
    <t>HOSPITAL-BASED SKILLED NURSING FACILITY</t>
  </si>
  <si>
    <t>NURSING FACILITY/INTERMEDIATE CARE FACILITY</t>
  </si>
  <si>
    <t>SKILLED NURSING FACILITY</t>
  </si>
  <si>
    <t>ALZHEIMER CENTER (DEMENTIA CENTER)</t>
  </si>
  <si>
    <t>SKILLED NURSING FACILITY - NURSING CARE, PEDIATRIC</t>
  </si>
  <si>
    <t>STATE ICF/DD FACILITY</t>
  </si>
  <si>
    <t>INTERMEDIATE CARE FACILITY, MENTAL ILLNESS</t>
  </si>
  <si>
    <t>INTERMEDIATE CARE FACILITY, MENTALLY RETARDED</t>
  </si>
  <si>
    <t>RESIDENTIAL TREATMENT FACILITY, MENTAL RETARDATION AND/OR DEVELOPMENTAL DISABILITIES</t>
  </si>
  <si>
    <t>RESIDENTIAL TREATMENT FACILITY, PHYSICAL DISABILITIES</t>
  </si>
  <si>
    <t>PRIVATE ICF/DD FACILITY</t>
  </si>
  <si>
    <t>RURAL HOSPITAL SWING BED FACILITY</t>
  </si>
  <si>
    <t>MEDICARE DEFINED SWING BED UNIT</t>
  </si>
  <si>
    <t>ASSISTIVE CARE SERVICES</t>
  </si>
  <si>
    <t>ASSISTED LIVING</t>
  </si>
  <si>
    <t>ASSISTED LIVING FACILITY</t>
  </si>
  <si>
    <t>ASSISTED LIVING FACILITY - ASSISTED LIVING, BEHAVIORAL DISTURBANCES</t>
  </si>
  <si>
    <t>CUSTODIAL CARE FACILITY</t>
  </si>
  <si>
    <t>EXTENDED CONGREGATE CARE</t>
  </si>
  <si>
    <t>LIMITED NURSING SPECIALTY LICENSE</t>
  </si>
  <si>
    <t>LIMITED MENTAL HEALTH SPECIALTY LICENSE</t>
  </si>
  <si>
    <t>ASSISTED LIVING FACILITY - ASSISTED LIVING, MENTAL ILLNESS</t>
  </si>
  <si>
    <t>ADULT FAMILY CARE HOME</t>
  </si>
  <si>
    <t>CUSTODIAL CARE FACILITY - ADULT CARE HOME</t>
  </si>
  <si>
    <t>RESIDENTIAL TREATMENT FACILITY</t>
  </si>
  <si>
    <t>SUPPORTS BROKERAGE</t>
  </si>
  <si>
    <t>TECHNICIAN - ATTENDANT CARE PROVIDER</t>
  </si>
  <si>
    <t>HOSPICE</t>
  </si>
  <si>
    <t>HOSPICE CARE, COMMUNITY BASED</t>
  </si>
  <si>
    <t>HOSPICE, INPATIENT</t>
  </si>
  <si>
    <t>RESIDENTIAL AND FREESTANDING PSYCHIATRIC FACILITY</t>
  </si>
  <si>
    <t>FREESTANDING PSYCHIATRIC HOSPITAL FOR CHILDREN</t>
  </si>
  <si>
    <t>RESIDENTIAL TREATMENT FACILITY, EMOTIONALLY DISTURBED CHILDREN</t>
  </si>
  <si>
    <t>FREESTANDING PSYCHIATRIC HOSPITAL FOR ADULTS</t>
  </si>
  <si>
    <t>ADDICTIONS RECEIVING FACILITIES</t>
  </si>
  <si>
    <t>SUBSTANCE ABUSE REHABILITATION FACILITY</t>
  </si>
  <si>
    <t>RESIDENTIAL TREATMENT CENTERS FOR CHILD/ADOLESCENT</t>
  </si>
  <si>
    <t>PSYCHIATRIC RESIDENTIAL TREATMENT FACILITY</t>
  </si>
  <si>
    <t>SUBSTANCE ABUSE REHABILITATION FACILITY - SUBSTANCE ABUSE TREATMENT, CHILDREN</t>
  </si>
  <si>
    <t>CRISIS STABILIZATION UNIT</t>
  </si>
  <si>
    <t>SHORT-TERM RESIDENTIAL TREATMENT</t>
  </si>
  <si>
    <t>PSYCHIATRIC RESIDENTIAL TREATEMENT FACILITY</t>
  </si>
  <si>
    <t>SIPP</t>
  </si>
  <si>
    <t>PRESCRIBED DRUG SERVICES</t>
  </si>
  <si>
    <t>COMMUNITY PHARMACY</t>
  </si>
  <si>
    <t>PHARMACY</t>
  </si>
  <si>
    <t>PHARMACY - COMMUNITY/RETAIL PHARMACY</t>
  </si>
  <si>
    <t>PHARMACY - COMPOUNDING PHARMACY</t>
  </si>
  <si>
    <t>INFUSION PHARMACY</t>
  </si>
  <si>
    <t>CLINIC/CENTER - INFUSION THERAPY</t>
  </si>
  <si>
    <t>PHARMACY - HOME INFUSION THERAPY PHARMACY</t>
  </si>
  <si>
    <t>LTC - NON COMMUNITY</t>
  </si>
  <si>
    <t>PHARMACY - LONG TERM CARE PHARMACY</t>
  </si>
  <si>
    <t>INSTITUTIONAL CLASS I PHARMACY (HOSPITAL/NH)</t>
  </si>
  <si>
    <t>PHARMACY - CLINIC PHARMACY</t>
  </si>
  <si>
    <t>PHARMACY - INSTITUTIONAL PHARMACY</t>
  </si>
  <si>
    <t>TAX SUPPORTED</t>
  </si>
  <si>
    <t>340B PHARMACY</t>
  </si>
  <si>
    <t>DISPENSING PRACTITIONER</t>
  </si>
  <si>
    <t>NON-PHARMACY DISPENSING SITE</t>
  </si>
  <si>
    <t>NUCLEAR PHARMACY</t>
  </si>
  <si>
    <t>PHARMACY - NUCLEAR PHARMACY</t>
  </si>
  <si>
    <t>SPECIAL PHARMACY (PARENTERAL, ALF, CLSD SYS, ESRD)</t>
  </si>
  <si>
    <t>PHARMACY - SPECIALTY PHARMACY</t>
  </si>
  <si>
    <t>MEDICAL FOSTER CARE/ PERSONAL CARE PROVIDER</t>
  </si>
  <si>
    <t>TECHNICIAN - PERSONAL CARE ATTENDANT</t>
  </si>
  <si>
    <t>PRESCRIBED PEDIATRIC EXTENDED CARE (PPECC)</t>
  </si>
  <si>
    <t>CLINIC/CENTER - MEDICALLY FRAGILE INTANTS AND CHILDREN DAY CARE</t>
  </si>
  <si>
    <t>PHYSICIAN (M.D.)</t>
  </si>
  <si>
    <t>ADOLESCENT MEDICINE</t>
  </si>
  <si>
    <t>FAMILY MEDICINE - ADOLESCENT MEDICINE</t>
  </si>
  <si>
    <t>INTERNAL MEDICINE - ADOLESCENT MEDICINE</t>
  </si>
  <si>
    <t>PEDIATRICS - ADOLESCENT MEDICINE</t>
  </si>
  <si>
    <t>2084E0001X</t>
  </si>
  <si>
    <t>EPILEPSY PHYSICIAN</t>
  </si>
  <si>
    <t>ALLERGY</t>
  </si>
  <si>
    <t>ALLERGY &amp; IMMUNOLOGY</t>
  </si>
  <si>
    <t>ALLERGY &amp; IMMUNOLOGY - ALLERGY</t>
  </si>
  <si>
    <t>ANESTHESIOLOGY</t>
  </si>
  <si>
    <t>ANESTHESIOLOGY - ADDICTION MEDICINE</t>
  </si>
  <si>
    <t>ANESTHESIOLOGY - CRITICAL CARE MEDICINE</t>
  </si>
  <si>
    <t>ANESTHESIOLOGY - HOSPICE AND PALLIATIVE MEDICINE</t>
  </si>
  <si>
    <t>ANESTHESIOLOGY - PAIN MEDICINE</t>
  </si>
  <si>
    <t>ANESTHESIOLOGY - PEDIATRIC ANESTHESIOLOGY</t>
  </si>
  <si>
    <t>CARDIOVASCULAR MEDICINE</t>
  </si>
  <si>
    <t>INTERNAL MEDICINE - CARDIOVASCULAR DISEASE</t>
  </si>
  <si>
    <t>INTERNAL MEDICINE - CLINICAL CARDIAC ELECTROPHYSIOLOGY</t>
  </si>
  <si>
    <t>INTERNAL MEDICINE - INTERVENTIONAL CARDIOLOGY</t>
  </si>
  <si>
    <t>DERMATOLOGY</t>
  </si>
  <si>
    <t>DERMATOLOGY - MOHS-MICROGRAPHIC SURGERY</t>
  </si>
  <si>
    <t>DERMATOLOGY - DERMATOPATHOLOGY</t>
  </si>
  <si>
    <t>DERMATOLOGY - CLINICAL &amp; LABORATORY DERMATOLOGICAL IMMUNOLOGY</t>
  </si>
  <si>
    <t>DERMATOLOGY - PEDIATRIC DERMATOLOGY</t>
  </si>
  <si>
    <t>DERMATOLOGY - PROCEDURAL DERMATOLOGY</t>
  </si>
  <si>
    <t>DIABETES</t>
  </si>
  <si>
    <t>INTERNAL MEDICINE - ENDOCRINOLOGY, DIABETES &amp; METABOLISM</t>
  </si>
  <si>
    <t>EMERGENCY MEDICINE</t>
  </si>
  <si>
    <t>EMERGENCY MEDICINE - EMERGENCY MEDICAL SERVICES</t>
  </si>
  <si>
    <t>EMERGENCY MEDICINE - UNDERSEA AND HYPERBARIC MEDICINE</t>
  </si>
  <si>
    <t>EMERGENCY MEDICINE - HOSPICE AND PALLIATIVE MEDICINE</t>
  </si>
  <si>
    <t>EMERGENCY MEDICINE - PEDIATRIC EMERGENCY MEDICINE</t>
  </si>
  <si>
    <t>EMERGENCY MEDICINE - SPORTS MEDICINE</t>
  </si>
  <si>
    <t>EMERGENCY MEDICINE - MEDICAL TOXICOLOGY</t>
  </si>
  <si>
    <t>ENDOCRINOLOGY</t>
  </si>
  <si>
    <t>FAMILY PRACTICE</t>
  </si>
  <si>
    <t>202D00000X</t>
  </si>
  <si>
    <t>INTEGRATIVE MEDICINE</t>
  </si>
  <si>
    <t>FAMILY MEDICINE</t>
  </si>
  <si>
    <t>FAMILY MEDICINE - ADDICTION MEDICINE</t>
  </si>
  <si>
    <t>FAMILY MEDICINE - ADULT MEDICINE</t>
  </si>
  <si>
    <t>FAMILY MEDICINE - OBESITY MEDICINE</t>
  </si>
  <si>
    <t>FAMILY MEDICINE - HOSPICE AND PALLIATIVE MEDICINE</t>
  </si>
  <si>
    <t>FAMILY MEDICINE - SPORTS MEDICINE</t>
  </si>
  <si>
    <t>FAMILY MEDICINE - SLEEP MEDICINE</t>
  </si>
  <si>
    <t>GASTROENTEROLOGY</t>
  </si>
  <si>
    <t>INTERNAL MEDICINE - GASTROENTEROLOGY</t>
  </si>
  <si>
    <t>INTERNAL MEDICINE - TRANSPLANT HEPATOLOGY</t>
  </si>
  <si>
    <t>GENERAL PRACTICE (DEFAULT SPEC FOR PHYS)</t>
  </si>
  <si>
    <t>GENERAL PRACTICE</t>
  </si>
  <si>
    <t>PREVENTIVE MEDICINE</t>
  </si>
  <si>
    <t>INTERNAL MEDICINE - ADDICTION MEDICINE</t>
  </si>
  <si>
    <t>PREVENTIVE MEDICINE - AEROSPACE MEDICINE</t>
  </si>
  <si>
    <t>PREVENTIVE MEDICINE - OBESITY MEDICINE</t>
  </si>
  <si>
    <t>PREVENTIVE MEDICINE - CLINICAL INFORMATICS</t>
  </si>
  <si>
    <t>PREVENTIVE MEDICINE - UNDERSEA AND HYPERBARIC MEDICINE</t>
  </si>
  <si>
    <t>PREVENTIVE MEDICINE - PREVENTIVE MEDICINE/OCCUPATIONAL ENVIRONMENTAL MEDICINE</t>
  </si>
  <si>
    <t>PREVENTIVE MEDICINE - PUBLIC HEALTH &amp; GENERAL PREVENTIVE MEDICINE</t>
  </si>
  <si>
    <t>PREVENTIVE MEDICINE - SPORTS MEDICINE</t>
  </si>
  <si>
    <t>PREVENTIVE MEDICINE - MEDICAL TOXICOLOGY</t>
  </si>
  <si>
    <t>GERIATRICS</t>
  </si>
  <si>
    <t>FAMILY MEDICINE - GERIATRIC MEDICINE</t>
  </si>
  <si>
    <t>INTERNAL MEDICINE - GERIATRIC MEDICINE</t>
  </si>
  <si>
    <t>GYNECOLOGY</t>
  </si>
  <si>
    <t>OBSTETRICS &amp; GYNECOLOGY - GYNECOLOGY</t>
  </si>
  <si>
    <t>OBSTETRICS &amp; GYNECOLOGY - GYNECOLOGIC ONCOLOGY</t>
  </si>
  <si>
    <t>HEMATOLOGY</t>
  </si>
  <si>
    <t>INTERNAL MEDICINE - HEMATOLOGY</t>
  </si>
  <si>
    <t>PATHOLOGY - HEMATOLOGY</t>
  </si>
  <si>
    <t>IMMUNOLOGY</t>
  </si>
  <si>
    <t>ALLERGY &amp; IMMUNOLOGY - CLINICAL &amp; LABORATORY IMMUNOLOGY</t>
  </si>
  <si>
    <t>INTERNAL MEDICINE - CLINICAL &amp; LABORATORY IMMUNOLOGY</t>
  </si>
  <si>
    <t>INFECTIOUS DISEASES</t>
  </si>
  <si>
    <t>INTERNAL MEDICINE - INFECTIOUS DISEASE</t>
  </si>
  <si>
    <t>INTERNAL MEDICINE</t>
  </si>
  <si>
    <t>INTERNAL MEDICINE - OBESITY MEDICINE</t>
  </si>
  <si>
    <t>INTERNAL MEDICINE - CRITICAL CARE MEDICINE</t>
  </si>
  <si>
    <t>INTERNAL MEDICINE - HOSPICE AND PALLIATIVE MEDICINE</t>
  </si>
  <si>
    <t>INTERNAL MEDICINE - HYPERTENSION SPECIALIST</t>
  </si>
  <si>
    <t>INTERNAL MEDICINE - HEPATOLOGY</t>
  </si>
  <si>
    <t>INTERNAL MEDICINE - MAGNETIC RESONANCE IMAGING (MRI)</t>
  </si>
  <si>
    <t>INTERNAL MEDICINE - SPORTS MEDICINE</t>
  </si>
  <si>
    <t>INTERNAL MEDICINE - SLEEP MEDICINE</t>
  </si>
  <si>
    <t>NEONATAL/PERINATAL</t>
  </si>
  <si>
    <t>PEDIATRICS - NEONATAL-PERINATAL MEDICINE</t>
  </si>
  <si>
    <t>NEPHROLOGY</t>
  </si>
  <si>
    <t>INTERNAL MEDICINE - NEPHROLOGY</t>
  </si>
  <si>
    <t>NEUROLOGY</t>
  </si>
  <si>
    <t>PSYCHIATRY AND NEUROLOGY - OBESITY MEDICINE</t>
  </si>
  <si>
    <t>PSYCHIATRY AND NEUROLOGY - BEHAVIORAL NEUROLOGY AND NEUROPSYCHIATRY</t>
  </si>
  <si>
    <t>PSYCHIATRY &amp; NEUROLOGY - DIAGNOSTIC NEUROIMAGING</t>
  </si>
  <si>
    <t>PSYCHIATRY &amp; NEUROLOGY - HOSPICE AND PALLIATIVE MEDICINE</t>
  </si>
  <si>
    <t>PSYCHIATRY &amp; NEUROLOGY - NEUROMUSCULAR MEDICINE</t>
  </si>
  <si>
    <t>PSYCHIATRY &amp; NEUROLOGY - NEUROLOGY</t>
  </si>
  <si>
    <t>PSYCHIATRY &amp; NEUROLOGY - CLINICAL NEUROPHYSIOLOGY</t>
  </si>
  <si>
    <t>PSYCHIATRY &amp; NEUROLOGY - NEURODEVELOPMENTAL DISABILITIES</t>
  </si>
  <si>
    <t>PSYCHIATRY &amp; NEUROLOGY - PSYCHOSOMATIC MEDICINE</t>
  </si>
  <si>
    <t>PSYCHIATRY AND NEUROLOGY - BRAIN INJURY MEDICINE</t>
  </si>
  <si>
    <t>PSYCHIATRY &amp; NEUROLOGY - GERIATRIC PSYCHIATRY</t>
  </si>
  <si>
    <t>PSYCHIATRY &amp; NEUROLOGY - PAIN MEDICINE</t>
  </si>
  <si>
    <t>PSYCHIATRY &amp; NEUROLOGY - SPORTS MEDICINE</t>
  </si>
  <si>
    <t>PSYCHIATRY &amp; NEUROLOGY - SLEEP MEDICINE</t>
  </si>
  <si>
    <t>PSYCHIATRY &amp; NEUROLOGY - VASCULAR NEUROLOGY</t>
  </si>
  <si>
    <t>NEUROLOGY/CHILDREN</t>
  </si>
  <si>
    <t>PSYCHIATRY &amp; NEUROLOGY - NEUROLOGY WITH SPECIAL QUALIFICATIONS IN CHILD NEUROLOGY</t>
  </si>
  <si>
    <t>NEUROPATHOLOGY</t>
  </si>
  <si>
    <t>PATHOLOGY - NEUROPATHOLOGY</t>
  </si>
  <si>
    <t>OBSTETRICS</t>
  </si>
  <si>
    <t>OBSTETRICS &amp; GYNECOLOGY - OBSTETRICS</t>
  </si>
  <si>
    <t>OB-GYN</t>
  </si>
  <si>
    <t>OBSTETRICS &amp; GYNECOLOGY</t>
  </si>
  <si>
    <t>OBSTETRICS AND GYNECOLOGY - OBESITY MEDICINE</t>
  </si>
  <si>
    <t>OBSTETRICS &amp; GYNECOLOGY - CRITICAL CARE MEDICINE</t>
  </si>
  <si>
    <t>207VC0300X</t>
  </si>
  <si>
    <t>OBSTETRICS &amp; GYNECOLOGY - COMPLEX FAMILY PLANNING</t>
  </si>
  <si>
    <t>OBSTETRICS &amp; GYNECOLOGY - REPRODUCTIVE ENDOCRINOLOGY</t>
  </si>
  <si>
    <t>OBSTETRICS AND GYNECOLOGY - FEMALE PELVIC MEDICINE AND RECONSTRUCTIVE SURGERY</t>
  </si>
  <si>
    <t>OBSTETRICS &amp; GYNECOLOGY - HOSPICE AND PALLIATIVE MEDICINE</t>
  </si>
  <si>
    <t>OCCUPATIONAL MEDICINE</t>
  </si>
  <si>
    <t>PREVENTIVE MEDICINE - OCCUPATIONAL MEDICINE</t>
  </si>
  <si>
    <t>ONCOLOGY</t>
  </si>
  <si>
    <t>INTERNAL MEDICINE - MEDICAL ONCOLOGY</t>
  </si>
  <si>
    <t>OPHTHALMOLOGY</t>
  </si>
  <si>
    <t>OPHTHALMOLOGY - OPHTHALMIC PLASTIC AND RECONSTRUCTIVE SURGERY</t>
  </si>
  <si>
    <t>OTOLARYNGOLOGY</t>
  </si>
  <si>
    <t>OTOLARYNGOLOGY - PEDIATRIC OTOLARYNGOLOGY</t>
  </si>
  <si>
    <t>OTOLARYNGOLOGY - SLEEP MEDICINE</t>
  </si>
  <si>
    <t>OTOLARYNGOLOGY - FACIAL PLASTIC SURGERY</t>
  </si>
  <si>
    <t>OTOLARYNGOLOGY - PLASTIC SURGERY WITHIN THE HEAD &amp; NECK</t>
  </si>
  <si>
    <t>OTOLARYNGOLOGY - OTOLARYNGIC ALLERGY</t>
  </si>
  <si>
    <t>OTOLARYNGOLOGY - OTOLOGY &amp; NEUROTOLOGY</t>
  </si>
  <si>
    <t>OTOLARYNGOLOGY - OTOLARYNGOLOGY/FACIAL PLASTIC SURGERY</t>
  </si>
  <si>
    <t>PATHOLOGY</t>
  </si>
  <si>
    <t>MEDICAL GENETICS - MOLECULAR GENETIC PATHOLOGY</t>
  </si>
  <si>
    <t>PATHOLOGY - BLOOD BANKING &amp; TRANSFUSION MEDICINE</t>
  </si>
  <si>
    <t>PATHOLOGY - CLINICAL PATHOLOGY</t>
  </si>
  <si>
    <t>PATHOLOGY - CLINICAL INFORMATICS</t>
  </si>
  <si>
    <t>PATHOLOGY - CYTOPATHOLOGY</t>
  </si>
  <si>
    <t>PATHOLOGY - DERMATOPATHOLOGY</t>
  </si>
  <si>
    <t>PATHOLOGY - IMMUNOPATHOLOGY</t>
  </si>
  <si>
    <t>PATHOLOGY - MEDICAL MICROBIOLOGY</t>
  </si>
  <si>
    <t>PATHOLOGY - MOLECULAR GENETIC PATHOLOGY</t>
  </si>
  <si>
    <t>PATHOLOGY - ANATOMIC PATHOLOGY</t>
  </si>
  <si>
    <t>PATHOLOGY - ANATOMIC PATHOLOGY &amp; CLINICAL PATHOLOGY</t>
  </si>
  <si>
    <t>PATHOLOGY - CHEMICAL PATHOLOGY</t>
  </si>
  <si>
    <t>PATHOLOGY - CLINICAL PATHOLOGY/LABORATORY MEDICINE</t>
  </si>
  <si>
    <t>PATHOLOGY - PEDIATRIC PATHOLOGY</t>
  </si>
  <si>
    <t>PATHOLOGY, CLINICAL</t>
  </si>
  <si>
    <t>PATHOLOGY, FORENSIC</t>
  </si>
  <si>
    <t>PATHOLOGY - FORENSIC PATHOLOGY</t>
  </si>
  <si>
    <t>PEDIATRICS</t>
  </si>
  <si>
    <t>PEDIATRICS - OBESITY MEDICINE</t>
  </si>
  <si>
    <t>PEDIATRICS - CHILD ABUSE PEDIATRICS</t>
  </si>
  <si>
    <t>PEDIATRICS - CLINICAL &amp; LABORATORY IMMUNOLOGY</t>
  </si>
  <si>
    <t>PEDIATRICS - DEVELOPMENTAL - BEHAVIORAL PEDIATRICS</t>
  </si>
  <si>
    <t>PEDIATRICS - NEURODEVELOPMENTAL DISABILITIES</t>
  </si>
  <si>
    <t>PEDIATRICS - PEDIATRIC GASTROENTEROLOGY</t>
  </si>
  <si>
    <t>PEDIATRICS - PEDIATRIC INFECTIOUS DISEASES</t>
  </si>
  <si>
    <t>PEDIATRICS - PEDIATRIC PULMONOLOGY</t>
  </si>
  <si>
    <t>PEDIATRICS - PEDIATRIC RHEUMATOLOGY</t>
  </si>
  <si>
    <t>PEDIATRICS - SPORTS MEDICINE</t>
  </si>
  <si>
    <t>PEDIATRICS - SLEEP MEDICINE</t>
  </si>
  <si>
    <t>PEDIATRICS - MEDICAL TOXICOLOGY</t>
  </si>
  <si>
    <t>PEDIATRICS - PEDIATRIC TRANSPLANT HEPATOLOGY</t>
  </si>
  <si>
    <t>PEDIATRICS, ALLERGY</t>
  </si>
  <si>
    <t>PEDIATRICS - PEDIATRIC ALLERGY/IMMUNOLOGY</t>
  </si>
  <si>
    <t>PEDIATRICS, CARDIOLOGY</t>
  </si>
  <si>
    <t>PEDIATRICS - PEDIATRIC CARDIOLOGY</t>
  </si>
  <si>
    <t>PEDIATRICS, ONCOLOGY/HEMATOLOGY</t>
  </si>
  <si>
    <t>PEDIATRICS - PEDIATRIC HEMATOLOGY-ONCOLOGY</t>
  </si>
  <si>
    <t>PEDIATRICS, NEPHROLOGY</t>
  </si>
  <si>
    <t>PEDIATRICS - PEDIATRIC NEPHROLOGY</t>
  </si>
  <si>
    <t>PHYSICAL MEDICINE AND REHAB</t>
  </si>
  <si>
    <t>PHYSICAL MEDICINE &amp; REHABILITATION</t>
  </si>
  <si>
    <t>PHYSICAL MEDICINE &amp; REHABILITATION - HOSPICE AND PALLIATIVE MEDICINE</t>
  </si>
  <si>
    <t>PHYSICAL MEDICINE &amp; REHABILITATION - NEUROMUSCULAR MEDICINE</t>
  </si>
  <si>
    <t>PHYSICAL MEDICINE &amp; REHABILITATION - SPINAL CORD INJURY MEDICINE</t>
  </si>
  <si>
    <t>PHYSICAL MEDICINE &amp; REHABILITATION - PEDIATRIC REHABILITATION MEDICINE</t>
  </si>
  <si>
    <t>PHYSICAL MEDICINE AND REHABILITATION - BRAIN INJURY MEDICINE</t>
  </si>
  <si>
    <t>PHYSICAL MEDICINE &amp; REHABILITATION - PAIN MEDICINE</t>
  </si>
  <si>
    <t>PHYSICAL MEDICINE &amp; REHABILITATION - SPORTS MEDICINE</t>
  </si>
  <si>
    <t>PSYCHIATRY</t>
  </si>
  <si>
    <t>PSYCHIATRY &amp; NEUROLOGY - FORENSIC PSYCHIATRY</t>
  </si>
  <si>
    <t>PSYCHIATRY &amp; NEUROLOGY - PSYCHIATRY</t>
  </si>
  <si>
    <t>PSYCHIATRY &amp; NEUROLOGY - ADDICTION PSYCHIATRY</t>
  </si>
  <si>
    <t>PSYCHIATRY, CHILD</t>
  </si>
  <si>
    <t>PSYCHIATRY &amp; NEUROLOGY - CHILD &amp; ADOLESCENT PSYCHIATRY</t>
  </si>
  <si>
    <t>PUBLIC HEALTH</t>
  </si>
  <si>
    <t>PULMONARY DISEASES</t>
  </si>
  <si>
    <t>INTERNAL MEDICINE - PULMONARY DISEASE</t>
  </si>
  <si>
    <t>RADIOLOGY</t>
  </si>
  <si>
    <t>RADIOLOGY - BODY IMAGING</t>
  </si>
  <si>
    <t>RADIOLOGY - DIAGNOSTIC NEUROIMAGING</t>
  </si>
  <si>
    <t>RADIOLOGY, DIAGNOSTIC</t>
  </si>
  <si>
    <t>NUCLEAR MEDICINE</t>
  </si>
  <si>
    <t>NUCLEAR MEDICINE - NUCLEAR CARDIOLOGY</t>
  </si>
  <si>
    <t>NUCLEAR MEDICINE - IN VIVO &amp; IN VITRO NUCLEAR MEDICINE</t>
  </si>
  <si>
    <t>RADIOLOGY - NEURORADIOLOGY</t>
  </si>
  <si>
    <t>RADIOLOGY - NUCLEAR RADIOLOGY</t>
  </si>
  <si>
    <t>RADIOLOGY - DIAGNOSTIC RADIOLOGY</t>
  </si>
  <si>
    <t>RADIOLOGY - VASCULAR &amp; INTERVENTIONAL RADIOLOGY</t>
  </si>
  <si>
    <t>RADIOLOGY - RADIOLOGICAL PHYSICS</t>
  </si>
  <si>
    <t>RADIOLOGY, PEDIATRIC</t>
  </si>
  <si>
    <t>RADIOLOGY - PEDIATRIC RADIOLOGY</t>
  </si>
  <si>
    <t>RADIOLOGY, THERAPEUTIC</t>
  </si>
  <si>
    <t>NUCLEAR MEDICINE - NUCLEAR IMAGING &amp; THERAPY</t>
  </si>
  <si>
    <t>RADIOLOGY - HOSPICE AND PALLIATIVE MEDICINE</t>
  </si>
  <si>
    <t>RADIOLOGY - RADIATION ONCOLOGY</t>
  </si>
  <si>
    <t>RADIOLOGY - THERAPEUTIC RADIOLOGY</t>
  </si>
  <si>
    <t>RHEUMATOLOGY</t>
  </si>
  <si>
    <t>INTERNAL MEDICINE - RHEUMATOLOGY</t>
  </si>
  <si>
    <t>SURGERY, ABDOMINAL</t>
  </si>
  <si>
    <t>SURGERY</t>
  </si>
  <si>
    <t>SURGERY, CARDIOVASCULAR</t>
  </si>
  <si>
    <t>SURGERY - VASCULAR SURGERY</t>
  </si>
  <si>
    <t>SURGERY, COLON/RECTAL</t>
  </si>
  <si>
    <t>COLON &amp; RECTAL SURGERY</t>
  </si>
  <si>
    <t>SURGERY, GENERAL</t>
  </si>
  <si>
    <t>ORAL &amp; MAXILLOFACIAL SURGERY</t>
  </si>
  <si>
    <t>SURGERY - HOSPICE AND PALLIATIVE MEDICINE</t>
  </si>
  <si>
    <t>SURGERY - SURGICAL CRITICAL CARE</t>
  </si>
  <si>
    <t>SURGERY - SURGICAL ONCOLOGY</t>
  </si>
  <si>
    <t>SURGERY, HAND</t>
  </si>
  <si>
    <t>ORTHOPAEDIC SURGERY - HAND SURGERY</t>
  </si>
  <si>
    <t>PLASTIC SURGERY - SURGERY OF THE HAND</t>
  </si>
  <si>
    <t>SURGERY - SURGERY OF THE HAND</t>
  </si>
  <si>
    <t>SURGERY, NEUROLOGICAL</t>
  </si>
  <si>
    <t>NEUROLOGICAL SURGERY</t>
  </si>
  <si>
    <t>SURGERY, ORTHOPEDIC</t>
  </si>
  <si>
    <t>ORTHOPAEDIC SURGERY</t>
  </si>
  <si>
    <t>ORTHOPAEDIC SURGERY - PEDIATRIC ORTHOPAEDIC SURGERY</t>
  </si>
  <si>
    <t>ORTHOPAEDIC SURGERY - ADULT RECONSTRUCTIVE ORTHOPAEDIC SURGERY</t>
  </si>
  <si>
    <t>ORTHOPAEDIC SURGERY - ORTHOPAEDIC SURGERY OF THE SPINE</t>
  </si>
  <si>
    <t>ORTHOPAEDIC SURGERY - FOOT AND ANKLE SURGERY</t>
  </si>
  <si>
    <t>ORTHOPAEDIC SURGERY - SPORTS MEDICINE</t>
  </si>
  <si>
    <t>ORTHOPAEDIC SURGERY - ORTHOPAEDIC TRAUMA</t>
  </si>
  <si>
    <t>SURGERY, PEDIATRIC</t>
  </si>
  <si>
    <t>SURGERY - PEDIATRIC SURGERY</t>
  </si>
  <si>
    <t>SURGERY, PLASTIC</t>
  </si>
  <si>
    <t>PLASTIC SURGERY</t>
  </si>
  <si>
    <t>PLASTIC SURGERY - PLASTIC SURGERY WITHIN THE HEAD AND NECK</t>
  </si>
  <si>
    <t>SURGERY - PLASTIC AND RECONSTRUCTIVE SURGERY</t>
  </si>
  <si>
    <t>SURGERY, THORACIC</t>
  </si>
  <si>
    <t>THORACIC SURGERY (CARDIOTHORACIC VASCULAR SURGERY)</t>
  </si>
  <si>
    <t>SURGERY, TRAUMATIC</t>
  </si>
  <si>
    <t>SURGERY - TRAUMA SURGERY</t>
  </si>
  <si>
    <t>SURGERY, UROLOGICAL</t>
  </si>
  <si>
    <t>UROLOGY</t>
  </si>
  <si>
    <t>UROLOGY - PEDIATRIC UROLOGY</t>
  </si>
  <si>
    <t>MATERNAL/FETAL</t>
  </si>
  <si>
    <t>OBSTETRICS &amp; GYNECOLOGY - MATERNAL &amp; FETAL MEDICINE</t>
  </si>
  <si>
    <t>GENETICS</t>
  </si>
  <si>
    <t>MEDICAL GENETICS - CLINICAL CYTOGENETIC</t>
  </si>
  <si>
    <t>MEDICAL GENETICS - CLINICAL GENETICS (M.D.)</t>
  </si>
  <si>
    <t>MEDICAL GENETICS - CLINICAL BIOCHEMICAL GENETICS</t>
  </si>
  <si>
    <t>MEDICAL GENETICS - CLINICAL MOLECULAR GENETICS</t>
  </si>
  <si>
    <t>207SG0207X</t>
  </si>
  <si>
    <t>MEDICAL GENETICS - MEDICAL BIOCHEMICAL GENETICS</t>
  </si>
  <si>
    <t>PEDIATRICS, CRITICAL CARE</t>
  </si>
  <si>
    <t>PEDIATRICS - PEDIATRIC CRITICAL CARE MEDICINE</t>
  </si>
  <si>
    <t>PEDIATRICS, EMERGENCY CARE</t>
  </si>
  <si>
    <t>PEDIATRICS - PEDIATRIC EMERGENCY MEDICINE</t>
  </si>
  <si>
    <t>SURGERY, PEDIATRIC - NON-BOARD CERTIFIED</t>
  </si>
  <si>
    <t>SURGERY, UROLOGIC - NON-BOARD CERTIFIED</t>
  </si>
  <si>
    <t>PEDIATRIC PALLIATIVE CARE</t>
  </si>
  <si>
    <t>PEDIATRICS - HOSPICE AND PALLIATIVE MEDICINE</t>
  </si>
  <si>
    <t>HOSPITALIST</t>
  </si>
  <si>
    <t>ENDOCRINOLOGY (PEDS)</t>
  </si>
  <si>
    <t>PEDIATRICS - PEDIATRIC ENDOCRINOLOGY</t>
  </si>
  <si>
    <t>UROLOGY - FEMALE PELVIC MEDICINE AND RECONSTRUCTIVE SURGERY</t>
  </si>
  <si>
    <t>PHYSICIAN (D.O.)</t>
  </si>
  <si>
    <t>INTERNAL MEDICINE - ALLERGY &amp; IMMUNOLOGY</t>
  </si>
  <si>
    <t>INTERNAL MEDICINE - HEMATOLOGY &amp; ONCOLOGY</t>
  </si>
  <si>
    <t>OPHTHALMOLOGY - GLAUCOMA SPECIALIST</t>
  </si>
  <si>
    <t>OPHTHALMOLOGY - RETINA SPECIALIST</t>
  </si>
  <si>
    <t>OPHTHALMOLOGY - UVEITIS AND OCULAR INFLAMMATORY DISEASE</t>
  </si>
  <si>
    <t>PSYCHIATRY &amp; NEUROLOGY - ADDICTION MEDICINE</t>
  </si>
  <si>
    <t>RADIOLOGY - DIAGNOSTIC ULTRASOUND</t>
  </si>
  <si>
    <t>PODIATRIST</t>
  </si>
  <si>
    <t>PODIATRIST - PUBLIC MEDICINE</t>
  </si>
  <si>
    <t>PODIATRIST - PRIMARY PODIATRIC MEDICINE</t>
  </si>
  <si>
    <t>PODIATRIST - RADIOLOGY</t>
  </si>
  <si>
    <t>PODIATRIST - SPORTS MEDICINE</t>
  </si>
  <si>
    <t>PODIATRIST - FOOT &amp; ANKLE SURGERY</t>
  </si>
  <si>
    <t>PODIATRIST - FOOT SURGERY</t>
  </si>
  <si>
    <t>CLINIC/CENTER - PODIATRIC</t>
  </si>
  <si>
    <t>CHIROPRACTOR</t>
  </si>
  <si>
    <t>CHIROPRACTOR - INDEPENDENT MEDICAL EXAMINER</t>
  </si>
  <si>
    <t>CHIROPRACTOR - INTERNIST</t>
  </si>
  <si>
    <t>CHIROPRACTOR - NEUROLOGY</t>
  </si>
  <si>
    <t>CHIROPRACTOR - NUTRITION</t>
  </si>
  <si>
    <t>CHIROPRACTOR - PEDIATRIC CHIROPRACTOR</t>
  </si>
  <si>
    <t>CHIROPRACTOR - RADIOLOGY</t>
  </si>
  <si>
    <t>CHIROPRACTOR - REHABILITATION</t>
  </si>
  <si>
    <t>CHIROPRACTOR - SPORTS PHYSICIAN</t>
  </si>
  <si>
    <t>CHIROPRACTOR - THERMOGRAPHY</t>
  </si>
  <si>
    <t>CHIROPRACTOR - OCCUPATIONAL HEALTH</t>
  </si>
  <si>
    <t>CHIROPRACTOR - ORTHOPEDIC</t>
  </si>
  <si>
    <t>PHYSICIAN ASSISTANT</t>
  </si>
  <si>
    <t>SPECIALIST/TECHNOLOGIST, OTHER - ORTHOPEDIC ASSISTANT</t>
  </si>
  <si>
    <t>PHYSICIAN ASSISTANT - MEDICAL</t>
  </si>
  <si>
    <t>PHYSICIAN ASSISTANT - SURGICAL TECHNOLOGIST</t>
  </si>
  <si>
    <t>ADVANCED PRACTICE REGISTERED NURSE</t>
  </si>
  <si>
    <t>ADULT PRIMARY CARE</t>
  </si>
  <si>
    <t>NURSE PRACTITIONER - ADULT HEALTH</t>
  </si>
  <si>
    <t>NURSE PRACTITIONER - PRIMARY CARE</t>
  </si>
  <si>
    <t>CLINICAL NURSE SPECIALIST PSYCH. MENTAL HEALTH</t>
  </si>
  <si>
    <t>NURSE PRACTITIONER - PSYCH/MENTAL HEALTH</t>
  </si>
  <si>
    <t>CLINICAL NURSE SPECIALIST - PSYCH/MENTAL HEALTH, CHILD &amp; ADOLESCENT</t>
  </si>
  <si>
    <t>CLINICAL NURSE SPECIALIST - PSYCH/MENTAL HEALTH</t>
  </si>
  <si>
    <t>CLINICAL NURSE SPECIALIST - PSYCH/MENTAL HEALTH, ADULT</t>
  </si>
  <si>
    <t>CLINICAL NURSE SPECIALIST - PSYCH/MENTAL HEALTH, CHILD &amp; FAMILY</t>
  </si>
  <si>
    <t>CLINICAL NURSE SPECIALIST - PSYCH/MENTAL HEALTH, CHRONICALLY ILL</t>
  </si>
  <si>
    <t>CLINICAL NURSE SPECIALIST - PSYCH/MENTAL HEALTH, COMMUNITY</t>
  </si>
  <si>
    <t>CLINICAL NURSE SPECIALIST - PSYCH/MENTAL HEALTH, GEROPSYCHIATRIC</t>
  </si>
  <si>
    <t>COLLEGE HEALTH NURSE</t>
  </si>
  <si>
    <t>NURSE PRACTITIONER - SCHOOL</t>
  </si>
  <si>
    <t>DIABETIC NURSE PRACTITIONER</t>
  </si>
  <si>
    <t>FAMILY NURSE</t>
  </si>
  <si>
    <t>NURSE PRACTITIONER - FAMILY</t>
  </si>
  <si>
    <t>FAMILY PLANNING</t>
  </si>
  <si>
    <t>GERIATRIC</t>
  </si>
  <si>
    <t>NURSE PRACTITIONER - GERONTOLOGY</t>
  </si>
  <si>
    <t>MATERNAL/CHILD HEALTH FAMILY PLANNING</t>
  </si>
  <si>
    <t>NURSE PRACTITIONER - OBSTETRICS &amp; GYNECOLOGY</t>
  </si>
  <si>
    <t>CERTIFIED REGISTERED NURSE ANESTHETIST</t>
  </si>
  <si>
    <t>NURSE ANESTHETIST, CERTIFIED REGISTERED</t>
  </si>
  <si>
    <t>CERTIFIED REGISTERED NURSE MIDWIFE</t>
  </si>
  <si>
    <t>ADVANCED PRACTICE MIDWIFE</t>
  </si>
  <si>
    <t>OB/GYN NURSE</t>
  </si>
  <si>
    <t>NURSE PRACTITIONER - PERINATAL</t>
  </si>
  <si>
    <t>NURSE PRACTITIONER - WOMEN'S HEALTH</t>
  </si>
  <si>
    <t>PEDIATRIC NURSE</t>
  </si>
  <si>
    <t>NURSE PRACTITIONER - NEONATAL</t>
  </si>
  <si>
    <t>NURSE PRACTITIONER - NEONATAL, CRITICAL CARE</t>
  </si>
  <si>
    <t>NURSE PRACTITIONER - PEDIATRICS</t>
  </si>
  <si>
    <t>NURSE PRACTITIONER - PEDIATRICS, CRITICAL CARE</t>
  </si>
  <si>
    <t>RETAIL HEALTH CLINIC</t>
  </si>
  <si>
    <t>NURSE PRACTITIONER</t>
  </si>
  <si>
    <t>CMS/MFC TCM</t>
  </si>
  <si>
    <t>NURSE PRACTITIONER (ARNP) - GROUP</t>
  </si>
  <si>
    <t>NURSE PRACTITIONER - ACUTE CARE</t>
  </si>
  <si>
    <t>NURSE PRACTITIONER - CRITICAL CARE MEDICINE</t>
  </si>
  <si>
    <t>NURSE PRACTITIONER - COMMUNITY HEALTH</t>
  </si>
  <si>
    <t>NURSE PRACTITIONER - OCCUPATIONAL HEALTH</t>
  </si>
  <si>
    <t>REGISTERED NURSE/REGISTERED NURSE FIRST ASSISTANT</t>
  </si>
  <si>
    <t>RNFA</t>
  </si>
  <si>
    <t>REGISTERED NURSE - REGISTERED NURSE FIRST ASSISTANT</t>
  </si>
  <si>
    <t>COUNTY HEALTH DEPARTMENT CERTIFIED MATCH RN/LPN</t>
  </si>
  <si>
    <t>REGISTERED NURSE - COMMUNITY HEALTH</t>
  </si>
  <si>
    <t>REGISTERED NURSE FIRST ASSISTANT</t>
  </si>
  <si>
    <t>REGISTERED NURSE</t>
  </si>
  <si>
    <t>SOCIAL WORKER/CASE MANAGER</t>
  </si>
  <si>
    <t>MENTAL HEALTH TCM</t>
  </si>
  <si>
    <t>SOCIAL WORKER</t>
  </si>
  <si>
    <t>SOCIAL WORKER - CLINICAL</t>
  </si>
  <si>
    <t>CASE MANAGER/CARE COORDINATOR</t>
  </si>
  <si>
    <t>TCM FOR CHILDREN AT RISK OF ABUSE AND NEGLECT</t>
  </si>
  <si>
    <t>DOH/CMS TCM</t>
  </si>
  <si>
    <t>PREVENTION PROFESSIONAL</t>
  </si>
  <si>
    <t>LICENSED MIDWIFE</t>
  </si>
  <si>
    <t>MIDWIFE, LAY</t>
  </si>
  <si>
    <t>MIDWIFE</t>
  </si>
  <si>
    <t>DENTIST</t>
  </si>
  <si>
    <t>ADULT DENTURES ONLY</t>
  </si>
  <si>
    <t>DENTURIST</t>
  </si>
  <si>
    <t>GENERAL DENTISTRY</t>
  </si>
  <si>
    <t>DENTIST - DENTIST ANESTHESIOLOGIST</t>
  </si>
  <si>
    <t>DENTIST - ENDODONTICS</t>
  </si>
  <si>
    <t>DENTIST - GENERAL PRACTICE</t>
  </si>
  <si>
    <t>DENTIST - ORAL AND MAXILLOFACIAL PATHOLOGY</t>
  </si>
  <si>
    <t>DENTIST - PERIODONTICS</t>
  </si>
  <si>
    <t>DENTIST - PROSTHODONTICS</t>
  </si>
  <si>
    <t>ORAL SURGERY (DENTIST)</t>
  </si>
  <si>
    <t>DENTIST - ORAL AND MAXILLOFACIAL SURGERY</t>
  </si>
  <si>
    <t>PEDODONTIST</t>
  </si>
  <si>
    <t>DENTIST - PEDIATRIC DENTISTRY</t>
  </si>
  <si>
    <t>OTHER DENTIST</t>
  </si>
  <si>
    <t>DENTIST - DENTAL PUBLIC HEALTH</t>
  </si>
  <si>
    <t>ORTHODONTIST</t>
  </si>
  <si>
    <t>DENTIST - ORTHODONTICS AND DENTOFACIAL ORTHOPEDICS</t>
  </si>
  <si>
    <t>MEDICAL ASSISTANT</t>
  </si>
  <si>
    <t>ANESTHESIOLOGY ASSISTANT</t>
  </si>
  <si>
    <t>ANESTHESIOLOGIST ASSISTANT</t>
  </si>
  <si>
    <t>REGISTERED DENTAL HYGIENIST</t>
  </si>
  <si>
    <t>DENTAL HYGIENIST</t>
  </si>
  <si>
    <t>ADVANCED PRACTICE DENTAL THERAPIST</t>
  </si>
  <si>
    <t>BEHAVIOR ANALYSIS</t>
  </si>
  <si>
    <t>REGISTERED BEHAVIOR TECHNICIAN</t>
  </si>
  <si>
    <t>COUNSELOR - ADDICTION (SUBSTANCE USE DISORDER)</t>
  </si>
  <si>
    <t>BEHAVIOR TECHNICIAN</t>
  </si>
  <si>
    <t>ASSISTANT BEHAVIOR ANALYST</t>
  </si>
  <si>
    <t>COUNSELOR</t>
  </si>
  <si>
    <t>LEAD ANALYST</t>
  </si>
  <si>
    <t>COUNSELOR - PROFESSIONAL</t>
  </si>
  <si>
    <t>PSYCHOANALYST</t>
  </si>
  <si>
    <t>CLINICAL NEUROPSYCHOLOGIST</t>
  </si>
  <si>
    <t>BEHAVIORAL ANALYST</t>
  </si>
  <si>
    <t>PSYCHOLOGIST - ADDICTION (SUBSTANCE USE DISORDER)</t>
  </si>
  <si>
    <t>PSYCHOLOGIST - ADULT DEVELOPMENT &amp; AGING</t>
  </si>
  <si>
    <t>PSYCHOLOGIST - COGNITIVE &amp; BEHAVIORAL</t>
  </si>
  <si>
    <t>PSYCHOLOGIST - CLINICAL</t>
  </si>
  <si>
    <t>PSYCHOLOGIST - COUNSELING</t>
  </si>
  <si>
    <t>PSYCHOLOGIST - CLINICAL CHILD &amp; ADOLESCENT</t>
  </si>
  <si>
    <t>PSYCHOLOGIST - EXERCISE &amp; SPORTS</t>
  </si>
  <si>
    <t>PSYCHOLOGIST - FAMILY</t>
  </si>
  <si>
    <t>PSYCHOLOGIST - FORENSIC</t>
  </si>
  <si>
    <t>PSYCHOLOGIST - HEALTH</t>
  </si>
  <si>
    <t>PSYCHOLOGIST - HEALTH SERVICE</t>
  </si>
  <si>
    <t>PSYCHOLOGIST - MENTAL RETARDATION &amp; DEVELOPMENTAL DISABILITIES</t>
  </si>
  <si>
    <t>PSYCHOLOGIST - PRESCRIBING (MEDICAL)</t>
  </si>
  <si>
    <t>PSYCHOLOGIST - PSYCHOANALYSIS</t>
  </si>
  <si>
    <t>PSYCHOLOGIST - REHABILITATION</t>
  </si>
  <si>
    <t>PSYCHOLOGIST - SCHOOL</t>
  </si>
  <si>
    <t>BEHAVIOR ANALYSIS GROUP</t>
  </si>
  <si>
    <t>AMBULANCE</t>
  </si>
  <si>
    <t>AMBULANCE - LAND TRANSPORT</t>
  </si>
  <si>
    <t>AMBULANCE - WATER TRANSPORT</t>
  </si>
  <si>
    <t>NON-EMERGENCY TRANSPORT</t>
  </si>
  <si>
    <t>TRANSPORTATION NETWORK COMPANY</t>
  </si>
  <si>
    <t>NON-EMERGENCY MEDICAL TRANSPORT (VAN)</t>
  </si>
  <si>
    <t>AIR AMBULANCE</t>
  </si>
  <si>
    <t>AMBULANCE - AIR TRANSPORT</t>
  </si>
  <si>
    <t>TAXICAB COMPANY</t>
  </si>
  <si>
    <t>TAXI</t>
  </si>
  <si>
    <t>GOVERNMENT/MUNICIPAL TRANSPORT</t>
  </si>
  <si>
    <t>PRIVATE TRANSPORTATION</t>
  </si>
  <si>
    <t>PRIVATE VEHICLE</t>
  </si>
  <si>
    <t>NON-PROFIT TRANSPORTATION</t>
  </si>
  <si>
    <t>MULTI-LOAD PRIVATE TRANSPORT</t>
  </si>
  <si>
    <t>INDEPENDENT LABORATORY</t>
  </si>
  <si>
    <t>CLINICAL MEDICAL LABORATORY</t>
  </si>
  <si>
    <t>PORTABLE X-RAY COMPANY</t>
  </si>
  <si>
    <t>CLINIC/CENTER - RADIOLOGY, MOBILE MAMMOGRAPHY</t>
  </si>
  <si>
    <t>CLINIC/CENTER - RADIOLOGY, MOBILE</t>
  </si>
  <si>
    <t>PORTABLE X-RAY SUPPLIER</t>
  </si>
  <si>
    <t>AUDIOLOGIST</t>
  </si>
  <si>
    <t>AUDIOLOGIST - ASSISTIVE TECHNOLOGY PRACTITIONER</t>
  </si>
  <si>
    <t>AUDIOLOGIST - ASSISTIVE TECHNOLOGY SUPPLIER</t>
  </si>
  <si>
    <t>HEARING AID SPECIALIST</t>
  </si>
  <si>
    <t>SPECIALIST/TECHNOLOGIST</t>
  </si>
  <si>
    <t>AUDIOLOGIST-HEARING AID FITTER</t>
  </si>
  <si>
    <t>HEARING INSTRUMENT SPECIALIST</t>
  </si>
  <si>
    <t>OPTOMETRIST</t>
  </si>
  <si>
    <t>152W00000X</t>
  </si>
  <si>
    <t>152WC0802X</t>
  </si>
  <si>
    <t>OPTOMETRIST - CORNEAL AND CONTACT MANAGEMENT</t>
  </si>
  <si>
    <t>152WL0500X</t>
  </si>
  <si>
    <t>OPTOMETRIST - LOW VISION REHABILITATION</t>
  </si>
  <si>
    <t>152WP0200X</t>
  </si>
  <si>
    <t>OPTOMETRIST - PEDIATRICS</t>
  </si>
  <si>
    <t>OPTOMETRIST - SPORTS VISION</t>
  </si>
  <si>
    <t>152WV0400X</t>
  </si>
  <si>
    <t>OPTOMETRIST - VISION THERAPY</t>
  </si>
  <si>
    <t>152WX0102X</t>
  </si>
  <si>
    <t>OPTOMETRIST - OCCUPATIONAL VISION</t>
  </si>
  <si>
    <t>EXCLUSIVE PROVIDER ORGANIZATION</t>
  </si>
  <si>
    <t>OPTICIAN</t>
  </si>
  <si>
    <t>TECHNICIAN/TECHNOLOGIST - OPTICIAN</t>
  </si>
  <si>
    <t>HOME HEALTH SERVICES</t>
  </si>
  <si>
    <t>PERSONAL CARE</t>
  </si>
  <si>
    <t>IN HOME SUPPORT CARE AGENCIES</t>
  </si>
  <si>
    <t>INDEPENDENT HOME HEALTH NURSE - LPN</t>
  </si>
  <si>
    <t>LICENSED PRACTICAL NURSE</t>
  </si>
  <si>
    <t>INDEPENDENT HOME HEALTH NURSE - RN</t>
  </si>
  <si>
    <t>REGISTERED NURSE - HOME HEALTH</t>
  </si>
  <si>
    <t>HOME HEALTH AGENCY</t>
  </si>
  <si>
    <t>HOME HEALTH</t>
  </si>
  <si>
    <t>HOME HEALTH AIDE</t>
  </si>
  <si>
    <t>RURAL HEALTH CLINIC</t>
  </si>
  <si>
    <t>CLINIC/CENTER - RURAL HEALTH</t>
  </si>
  <si>
    <t>HOME AND COMMUNITY BASED SERVICES WAIVER</t>
  </si>
  <si>
    <t>ASSISTED LIVING FOR THE ELDERLY</t>
  </si>
  <si>
    <t>STATEWIDE MEDICAID MANAGED CARE WAIVER SERVICES</t>
  </si>
  <si>
    <t>PERSONAL EMERGENCY RESPONSE SYSTEMS</t>
  </si>
  <si>
    <t>DEVELOPMENTAL DISABILITY</t>
  </si>
  <si>
    <t>DAY TRAINING, DEVELOPMENTALLY DISABLED SERVICES</t>
  </si>
  <si>
    <t>NURSING CARE</t>
  </si>
  <si>
    <t>CLINIC/CENTER - DEVELOPMENTAL DISABILITIES</t>
  </si>
  <si>
    <t>COMMUNITY BASED RESIDENTIAL TREATMENT, MENTAL RETARDATION AND/OR DEVELOPMENTAL DISABILITIES</t>
  </si>
  <si>
    <t>ADULT DAY CARE</t>
  </si>
  <si>
    <t>CLINIC/CENTER - ADULT DAY CARE</t>
  </si>
  <si>
    <t>RESPITE CARE</t>
  </si>
  <si>
    <t>HOME &amp; COMMUNITY-BASED SERVICES WAIVER</t>
  </si>
  <si>
    <t>FEDERALLY QUALIFIED HEALTH CENTER</t>
  </si>
  <si>
    <t>CLINIC/CENTER - FEDERALLY QUALIFIED HEALTH CENTER (FQHC)</t>
  </si>
  <si>
    <t>BIRTH CENTER</t>
  </si>
  <si>
    <t>CLINIC/CENTER - BIRTHING</t>
  </si>
  <si>
    <t>MEDICAID HEALTH PLAN</t>
  </si>
  <si>
    <t>CNET CAPITATED TRANSPORTATION</t>
  </si>
  <si>
    <t>DUAL SPECIAL NEEDS PLAN</t>
  </si>
  <si>
    <t>HEALTH MAINTENANCE ORGANIZATION</t>
  </si>
  <si>
    <t>SMMC-CAPITATED LTC</t>
  </si>
  <si>
    <t>SMMC-CAPITATED MMA</t>
  </si>
  <si>
    <t>SMMC-CAPITATED MMA SPECIALTY</t>
  </si>
  <si>
    <t>SMMC-CAPITATED MMA CHILD WELFARE</t>
  </si>
  <si>
    <t>MMA DOH CMS</t>
  </si>
  <si>
    <t>HMO</t>
  </si>
  <si>
    <t>PREFERRED PROVIDER ORGANIZATION</t>
  </si>
  <si>
    <t>COUNTY HEALTH DEPARTMENT</t>
  </si>
  <si>
    <t>PUBLIC HEALTH OR WELFARE</t>
  </si>
  <si>
    <t>CLINIC/CENTER - PUBLIC HEALTH, STATE OR LOCAL</t>
  </si>
  <si>
    <t>CHILDREN'S MEDICAL SERVICES</t>
  </si>
  <si>
    <t>PROFESSIONAL EARLY INTERVENTION SERVICES</t>
  </si>
  <si>
    <t>DEVELOPMENTAL THERAPIST</t>
  </si>
  <si>
    <t>EARLY INTERVENTION PROVIDER AGENCY</t>
  </si>
  <si>
    <t>THERAPIST (PT, OT, ST, RT)</t>
  </si>
  <si>
    <t>OCCUPATIONAL THERAPIST</t>
  </si>
  <si>
    <t>OCCUPATIONAL THERAPIST - ENVIRONMENTAL MODIFICATION</t>
  </si>
  <si>
    <t>OCCUPATIONAL THERAPIST - ERGONOMICS</t>
  </si>
  <si>
    <t>OCCUPATIONAL THERAPIST - FEEDING, EATING AND SWALLOWING</t>
  </si>
  <si>
    <t>OCCUPATIONAL THERAPIST - GERONTOLOGY</t>
  </si>
  <si>
    <t>OCCUPATIONAL THERAPIST - HAND</t>
  </si>
  <si>
    <t>OCCUPATIONAL THERAPIST - HUMAN FACTORS</t>
  </si>
  <si>
    <t>OCCUPATIONAL THERAPIST - LOW VISION</t>
  </si>
  <si>
    <t>OCCUPATIONAL THERAPIST - MENTAL HEALTH</t>
  </si>
  <si>
    <t>OCCUPATIONAL THERAPIST - NEUROREHABILITATION</t>
  </si>
  <si>
    <t>OCCUPATIONAL THERAPIST - PHYSICAL REHABILITATION</t>
  </si>
  <si>
    <t>OCCUPATIONAL THERAPIST - PEDIATRICS</t>
  </si>
  <si>
    <t>OCCUPATIONAL THERAPIST - DRIVING AND COMMUNITY MOBILITY</t>
  </si>
  <si>
    <t>PHYSICAL THERAPIST</t>
  </si>
  <si>
    <t>PHYSICAL THERAPIST - CARDIOPULMONARY</t>
  </si>
  <si>
    <t>PHYSICAL THERAPIST - ERGONOMICS</t>
  </si>
  <si>
    <t>PHYSICAL THERAPIST - ELECTROPHYSIOLOGY, CLINICAL</t>
  </si>
  <si>
    <t>PHYSICAL THERAPIST - GERIATRICS</t>
  </si>
  <si>
    <t>PHYSICAL THERAPIST - HAND</t>
  </si>
  <si>
    <t>PHYSICAL THERAPIST - HUMAN FACTORS</t>
  </si>
  <si>
    <t>PHYSICAL THERAPIST - NEUROLOGY</t>
  </si>
  <si>
    <t>PHYSICAL THERAPIST - PEDIATRICS</t>
  </si>
  <si>
    <t>PHYSICAL THERAPIST - SPORTS</t>
  </si>
  <si>
    <t>PHYSICAL THERAPIST - ORTHOPEDIC</t>
  </si>
  <si>
    <t>SPEECH THERAPIST</t>
  </si>
  <si>
    <t>SPEECH-LANGUAGE PATHOLOGIST</t>
  </si>
  <si>
    <t>RESPIRATORY THERAPIST</t>
  </si>
  <si>
    <t>RESPIRATORY THERAPIST, CERTIFIED</t>
  </si>
  <si>
    <t>RESPIRATORY THERAPIST, CERTIFIED - CRITICAL CARE</t>
  </si>
  <si>
    <t>RESPIRATORY THERAPIST, CERTIFIED - EMERGENCY CARE</t>
  </si>
  <si>
    <t>RESPIRATORY THERAPIST, CERTIFIED - EDUCATIONAL</t>
  </si>
  <si>
    <t>RESPIRATORY THERAPIST, CERTIFIED - GERIATRIC CARE</t>
  </si>
  <si>
    <t>RESPIRATORY THERAPIST, CERTIFIED - GENERAL CARE</t>
  </si>
  <si>
    <t>RESPIRATORY THERAPIST, CERTIFIED - PULMONARY DIAGNOSTICS</t>
  </si>
  <si>
    <t>RESPIRATORY THERAPIST, CERTIFIED - PULMONARY REHABILITATION</t>
  </si>
  <si>
    <t>RESPIRATORY THERAPIST, CERTIFIED - PULMONARY FUNCTION TECHNOLOGIST</t>
  </si>
  <si>
    <t>RESPIRATORY THERAPIST, CERTIFIED - PALLIATIVE/HOSPICE</t>
  </si>
  <si>
    <t>RESPIRATORY THERAPIST, CERTIFIED - NEONATAL/PEDIATRICS</t>
  </si>
  <si>
    <t>RESPIRATORY THERAPIST, CERTIFIED - PATIENT TRANSPORT</t>
  </si>
  <si>
    <t>RESPIRATORY THERAPIST, CERTIFIED - SNF/SUBACUTE CARE</t>
  </si>
  <si>
    <t>RESPIRATORY THERAPIST, REGISTERED</t>
  </si>
  <si>
    <t>RESPIRATORY THERAPIST, REGISTERED - CRITICAL CARE</t>
  </si>
  <si>
    <t>RESPIRATORY THERAPIST, REGISTERED - EMERGENCY CARE</t>
  </si>
  <si>
    <t>RESPIRATORY THERAPIST, REGISTERED - EDUCATIONAL</t>
  </si>
  <si>
    <t>RESPIRATORY THERAPIST, REGISTERED - GERIATRIC CARE</t>
  </si>
  <si>
    <t>RESPIRATORY THERAPIST, REGISTERED - GENERAL CARE</t>
  </si>
  <si>
    <t>RESPIRATORY THERAPIST, REGISTERED - HOME HEALTH</t>
  </si>
  <si>
    <t>RESPIRATORY THERAPIST, REGISTERED - PULMONARY DIAGNOSTICS</t>
  </si>
  <si>
    <t>RESPIRATORY THERAPIST, REGISTERED - PULMONARY REHABILITATION</t>
  </si>
  <si>
    <t>RESPIRATORY THERAPIST, REGISTERED - PULMONARY FUNCTION TECHNOLOGIST</t>
  </si>
  <si>
    <t>RESPIRATORY THERAPIST, REGISTERED - PALLIATIVE/HOSPICE</t>
  </si>
  <si>
    <t>RESPIRATORY THERAPIST, REGISTERED - NEONATAL/PEDIATRICS</t>
  </si>
  <si>
    <t>RESPIRATORY THERAPIST, REGISTERED - PATIENT TRANSPORT</t>
  </si>
  <si>
    <t>RESPIRATORY THERAPIST, REGISTERED - SNF/SUBACUTE CARE</t>
  </si>
  <si>
    <t>THERAPIST (PT, OT, ST, RT) - GROUP</t>
  </si>
  <si>
    <t>SCHOOL HEALTH PROVIDER</t>
  </si>
  <si>
    <t>OCCUPATIONAL THERAPY ASSISTANT</t>
  </si>
  <si>
    <t>PHYSICAL THERAPY ASSISTANT</t>
  </si>
  <si>
    <t>SPEECH-LANGUAGE PATHOLOGY ASSISTANT</t>
  </si>
  <si>
    <t>SPECIALIST/TECHNOLOGIST - SPEECH-LANGUAGE ASSISTANT</t>
  </si>
  <si>
    <t>SCHOOL COUNSELOR</t>
  </si>
  <si>
    <t>COUNSELOR - SCHOOL</t>
  </si>
  <si>
    <t>LICENSED VOCATIONAL NURSE</t>
  </si>
  <si>
    <t>SCHOOL PSYCHOLOGIST</t>
  </si>
  <si>
    <t>SOCIAL WORKER - SCHOOL</t>
  </si>
  <si>
    <t>MARRIAGE AND FAMILY THERAPIST</t>
  </si>
  <si>
    <t>MARRIAGE &amp; FAMILY THERAPIST</t>
  </si>
  <si>
    <t>MENTAL HEALTH COUNSELOR</t>
  </si>
  <si>
    <t>CERTIFIED BEHAVIOR ANALYST - LEAD</t>
  </si>
  <si>
    <t>CERTIFIED ASSISTANT BEHAVIOR ANALYST</t>
  </si>
  <si>
    <t>SPEECH LANGUAGE PATHOLOGIST</t>
  </si>
  <si>
    <t>REGISTERED NURSES</t>
  </si>
  <si>
    <t>REGISTERED NURSE - SCHOOL</t>
  </si>
  <si>
    <t>DIALYSIS CENTER</t>
  </si>
  <si>
    <t>CLINIC/CENTER - END-STAGE RENAL DISEASE (ESRD) TREATMENT</t>
  </si>
  <si>
    <t>DURABLE MED EQUIPT/ MEDICAL SUPPLIES</t>
  </si>
  <si>
    <t>MEDICAL OXYGEN RETAILER</t>
  </si>
  <si>
    <t>DURABLE MEDICAL EQUIPMENT &amp; MEDICAL SUPPLIES - OXYGEN EQUIPMENT &amp; SUPPLIES</t>
  </si>
  <si>
    <t>ORTHOTIST</t>
  </si>
  <si>
    <t>MASTECTOMY FITTER</t>
  </si>
  <si>
    <t>PEDORTHIST</t>
  </si>
  <si>
    <t>PROSTHETIST</t>
  </si>
  <si>
    <t>ORTHOTIC FITTER</t>
  </si>
  <si>
    <t>DURABLE MEDICAL EQUIPMENT &amp; MEDICAL SUPPLIES</t>
  </si>
  <si>
    <t>DURABLE MEDICAL EQUIPMENT &amp; MEDICAL SUPPLIES - CUSTOMIZED EQUIPMENT</t>
  </si>
  <si>
    <t>DURABLE MEDICAL EQUIPMENT &amp; MEDICAL SUPPLIES - DIALYSIS EQUIPMENT &amp; SUPPLIES</t>
  </si>
  <si>
    <t>DURABLE MEDICAL EQUIPMENT &amp; MEDICAL SUPPLIES - NURSING FACILITY SUPPLIES</t>
  </si>
  <si>
    <t>DURABLE MEDICAL EQUIPMENT &amp; MEDICAL SUPPLIES - PARENTERAL &amp; ENTERAL NUTRITION</t>
  </si>
  <si>
    <t>PROSTHETIC/ORTHOTIC SUPPLIER</t>
  </si>
  <si>
    <t>CASE MANAGEMENT AGENCY</t>
  </si>
  <si>
    <t>CASE MANAGEMENT</t>
  </si>
  <si>
    <t>PROVIDER SERVICE NETWORK</t>
  </si>
  <si>
    <t>SMMC-FFS LTC</t>
  </si>
  <si>
    <t>SMMC-FFS MMA</t>
  </si>
  <si>
    <t>SMMC-FFS MMA SPECIALTY</t>
  </si>
  <si>
    <t>SMMC-FFS MMA CHILD WELFARE</t>
  </si>
  <si>
    <t>MANAGED CARE TREATING PROVIDER - NON-MEDICAID</t>
  </si>
  <si>
    <t>MANAGED CARE TREATING PROVIDER - ACUPUNCTURIST</t>
  </si>
  <si>
    <t>ACUPUNCTURIST</t>
  </si>
  <si>
    <t>MANAGED CARE TREATING PROVIDER - NUTRITIONIST</t>
  </si>
  <si>
    <t>NUTRITIONIST</t>
  </si>
  <si>
    <t>MANAGED CARE TREATING PROVIDER - INDPDT DIAGNOST</t>
  </si>
  <si>
    <t>CLINIC/CENTER - MAGNETIC RESONANCE IMAGING (MRI)</t>
  </si>
  <si>
    <t>Code</t>
  </si>
  <si>
    <t>Column2</t>
  </si>
  <si>
    <t>Column3</t>
  </si>
  <si>
    <t>Portico_Specialty</t>
  </si>
  <si>
    <t>Taxonomy_Notes</t>
  </si>
  <si>
    <t>On_BH_Taxonomy_List</t>
  </si>
  <si>
    <t>Medicare_Eligible</t>
  </si>
  <si>
    <t>CA_Medicaid_SP_Mapping</t>
  </si>
  <si>
    <t>IL_Medicaid_SP_Mapping</t>
  </si>
  <si>
    <t>Kansas_SP_Mapping</t>
  </si>
  <si>
    <t>OH_Medicaid_SP_Mapping</t>
  </si>
  <si>
    <t>WA_Medicaid_SP_Mapping</t>
  </si>
  <si>
    <t>Ambetter_SP_Mapping</t>
  </si>
  <si>
    <t>Medicare_SP_Mapping</t>
  </si>
  <si>
    <t>Medicaid_SP_Mapping</t>
  </si>
  <si>
    <t>Column1</t>
  </si>
  <si>
    <t>Portico_Specialty&amp;Code</t>
  </si>
  <si>
    <t>Medical taxonomy</t>
  </si>
  <si>
    <t>N</t>
  </si>
  <si>
    <t>AC</t>
  </si>
  <si>
    <t>99</t>
  </si>
  <si>
    <t>HH</t>
  </si>
  <si>
    <t>DT</t>
  </si>
  <si>
    <t>Y</t>
  </si>
  <si>
    <t>42</t>
  </si>
  <si>
    <t>TR</t>
  </si>
  <si>
    <t>59</t>
  </si>
  <si>
    <t>03</t>
  </si>
  <si>
    <t>SN</t>
  </si>
  <si>
    <t>A1</t>
  </si>
  <si>
    <t>65</t>
  </si>
  <si>
    <t>25</t>
  </si>
  <si>
    <t>32</t>
  </si>
  <si>
    <t>43</t>
  </si>
  <si>
    <t>05</t>
  </si>
  <si>
    <t>79</t>
  </si>
  <si>
    <t>09</t>
  </si>
  <si>
    <t>BH Only Taxonomy</t>
  </si>
  <si>
    <t>BB</t>
  </si>
  <si>
    <t>48</t>
  </si>
  <si>
    <t>B2</t>
  </si>
  <si>
    <t>64</t>
  </si>
  <si>
    <t>80</t>
  </si>
  <si>
    <t>BA</t>
  </si>
  <si>
    <t>26</t>
  </si>
  <si>
    <t>87</t>
  </si>
  <si>
    <t>AltSpec1</t>
  </si>
  <si>
    <t>Care Management Specialist - HCBS</t>
  </si>
  <si>
    <t>Y1</t>
  </si>
  <si>
    <t>Shared Taxonomy</t>
  </si>
  <si>
    <t>CC</t>
  </si>
  <si>
    <t>70</t>
  </si>
  <si>
    <t>CM</t>
  </si>
  <si>
    <t>A4</t>
  </si>
  <si>
    <t>Certified Ohio Behavioral Analyst - HCBS</t>
  </si>
  <si>
    <t>Y2</t>
  </si>
  <si>
    <t>Chemical Depend Counselor II - HCBS</t>
  </si>
  <si>
    <t>Y3</t>
  </si>
  <si>
    <t>Chemical Depend Counselor III - HCBS</t>
  </si>
  <si>
    <t>Y4</t>
  </si>
  <si>
    <t>Chemical Dependency Counselor - HCBS</t>
  </si>
  <si>
    <t>Y5</t>
  </si>
  <si>
    <t>Chemical Dependency Counselor Assistant - HCBS</t>
  </si>
  <si>
    <t>Y6</t>
  </si>
  <si>
    <t>Chemical Dependency Counselor Assistant Dual 399</t>
  </si>
  <si>
    <t>ZI</t>
  </si>
  <si>
    <t>Chemical Dependency Counselor Assistant Dual 699</t>
  </si>
  <si>
    <t>YI</t>
  </si>
  <si>
    <t>35</t>
  </si>
  <si>
    <t>88</t>
  </si>
  <si>
    <t>CF</t>
  </si>
  <si>
    <t>RN</t>
  </si>
  <si>
    <t>HO</t>
  </si>
  <si>
    <t>A0</t>
  </si>
  <si>
    <t>FP</t>
  </si>
  <si>
    <t>49</t>
  </si>
  <si>
    <t>BR</t>
  </si>
  <si>
    <t>REQUIRED: Both an M &amp; H Claim_Type build for BH.</t>
  </si>
  <si>
    <t>DS</t>
  </si>
  <si>
    <t>FQ</t>
  </si>
  <si>
    <t>GN</t>
  </si>
  <si>
    <t>ST</t>
  </si>
  <si>
    <t>SH</t>
  </si>
  <si>
    <t>30</t>
  </si>
  <si>
    <t>Clinic/Center: Medically Fragile Intants and Children Day Care</t>
  </si>
  <si>
    <t>DA</t>
  </si>
  <si>
    <t>74</t>
  </si>
  <si>
    <t>45</t>
  </si>
  <si>
    <t>B4</t>
  </si>
  <si>
    <t>31</t>
  </si>
  <si>
    <t>SU</t>
  </si>
  <si>
    <t>FR</t>
  </si>
  <si>
    <t>RH</t>
  </si>
  <si>
    <t>UC</t>
  </si>
  <si>
    <t>Clinical Counselor - HCBS</t>
  </si>
  <si>
    <t>Y7</t>
  </si>
  <si>
    <t>23</t>
  </si>
  <si>
    <t>69</t>
  </si>
  <si>
    <t>68</t>
  </si>
  <si>
    <t>CN</t>
  </si>
  <si>
    <t>38</t>
  </si>
  <si>
    <t>89</t>
  </si>
  <si>
    <t>PD</t>
  </si>
  <si>
    <t>CNP Dual 399</t>
  </si>
  <si>
    <t>ZT</t>
  </si>
  <si>
    <t>CNP Dual 699</t>
  </si>
  <si>
    <t>YT</t>
  </si>
  <si>
    <t>CNS Dual 399</t>
  </si>
  <si>
    <t>ZS</t>
  </si>
  <si>
    <t>CNS Dual 699</t>
  </si>
  <si>
    <t>YS</t>
  </si>
  <si>
    <t>28</t>
  </si>
  <si>
    <t>PP</t>
  </si>
  <si>
    <t>LC</t>
  </si>
  <si>
    <t>Counselor Trainee - HCBS</t>
  </si>
  <si>
    <t>Y8</t>
  </si>
  <si>
    <t>Counselor Trainee Dual 399</t>
  </si>
  <si>
    <t>ZE</t>
  </si>
  <si>
    <t>Counselor Trainee Dual 699</t>
  </si>
  <si>
    <t>YE</t>
  </si>
  <si>
    <t>Not valid on FL Medicare</t>
  </si>
  <si>
    <t>19</t>
  </si>
  <si>
    <t>85</t>
  </si>
  <si>
    <t>PH</t>
  </si>
  <si>
    <t>A5</t>
  </si>
  <si>
    <t>07</t>
  </si>
  <si>
    <t>NT</t>
  </si>
  <si>
    <t>71</t>
  </si>
  <si>
    <t>DM</t>
  </si>
  <si>
    <t>54</t>
  </si>
  <si>
    <t>52</t>
  </si>
  <si>
    <t>13</t>
  </si>
  <si>
    <t>93</t>
  </si>
  <si>
    <t>60</t>
  </si>
  <si>
    <t>41</t>
  </si>
  <si>
    <t>EY</t>
  </si>
  <si>
    <t>08</t>
  </si>
  <si>
    <t>37</t>
  </si>
  <si>
    <t>01</t>
  </si>
  <si>
    <t>C0</t>
  </si>
  <si>
    <t>16</t>
  </si>
  <si>
    <t>34</t>
  </si>
  <si>
    <t>24</t>
  </si>
  <si>
    <t>47</t>
  </si>
  <si>
    <t>HA</t>
  </si>
  <si>
    <t>IV</t>
  </si>
  <si>
    <t>11</t>
  </si>
  <si>
    <t>17</t>
  </si>
  <si>
    <t>HS</t>
  </si>
  <si>
    <t>81</t>
  </si>
  <si>
    <t>06</t>
  </si>
  <si>
    <t>18</t>
  </si>
  <si>
    <t>21</t>
  </si>
  <si>
    <t>46</t>
  </si>
  <si>
    <t>10</t>
  </si>
  <si>
    <t>82</t>
  </si>
  <si>
    <t>83</t>
  </si>
  <si>
    <t>44</t>
  </si>
  <si>
    <t>90</t>
  </si>
  <si>
    <t>39</t>
  </si>
  <si>
    <t>29</t>
  </si>
  <si>
    <t>66</t>
  </si>
  <si>
    <t>Licensed Chemical Dependency Counselor II Dual 399</t>
  </si>
  <si>
    <t>ZH</t>
  </si>
  <si>
    <t>Licensed Chemical Dependency Counselor II Dual 699</t>
  </si>
  <si>
    <t>YH</t>
  </si>
  <si>
    <t>Licensed Chemical Dependency Counselor III Dual 399</t>
  </si>
  <si>
    <t>ZG</t>
  </si>
  <si>
    <t>Licensed Chemical Dependency Counselor III Dual 699</t>
  </si>
  <si>
    <t>YG</t>
  </si>
  <si>
    <t>Licensed Independent Chemical Dependency Counselor Dual 399</t>
  </si>
  <si>
    <t>ZF</t>
  </si>
  <si>
    <t>Licensed Independent Chemical Dependency Counselor Dual 699</t>
  </si>
  <si>
    <t>YF</t>
  </si>
  <si>
    <t>Licensed Independent Marriage and Family Therapist Dual 399</t>
  </si>
  <si>
    <t>ZN</t>
  </si>
  <si>
    <t>Licensed Independent Marriage and Family Therapist Dual 699</t>
  </si>
  <si>
    <t>YN</t>
  </si>
  <si>
    <t>Licensed Independent Social Worker Dual 399</t>
  </si>
  <si>
    <t>ZJ</t>
  </si>
  <si>
    <t>Licensed Independent Social Worker Dual 699</t>
  </si>
  <si>
    <t>YJ</t>
  </si>
  <si>
    <t>Licensed Marriage and Family Therapist Dual 399</t>
  </si>
  <si>
    <t>ZO</t>
  </si>
  <si>
    <t>Licensed Marriage and Family Therapist Dual 699</t>
  </si>
  <si>
    <t>YO</t>
  </si>
  <si>
    <t>Licensed Marriage/Family Counselor - HCBS</t>
  </si>
  <si>
    <t>Y9</t>
  </si>
  <si>
    <t>50</t>
  </si>
  <si>
    <t>LN</t>
  </si>
  <si>
    <t>Licensed Practical Nurse Dual 399</t>
  </si>
  <si>
    <t>ZB</t>
  </si>
  <si>
    <t>Licensed Practical Nurse Dual 699</t>
  </si>
  <si>
    <t>YB</t>
  </si>
  <si>
    <t>Licensed Professional Clinical Counselor Dual 399</t>
  </si>
  <si>
    <t>ZC</t>
  </si>
  <si>
    <t>Licensed Professional Clinical Counselor Dual 699</t>
  </si>
  <si>
    <t>YC</t>
  </si>
  <si>
    <t>Licensed Professional Counselor - HCBS</t>
  </si>
  <si>
    <t>Y0</t>
  </si>
  <si>
    <t>Licensed Professional Counselor Dual 399</t>
  </si>
  <si>
    <t>ZD</t>
  </si>
  <si>
    <t>Licensed Professional Counselor Dual 699</t>
  </si>
  <si>
    <t>YD</t>
  </si>
  <si>
    <t>Licensed Social Worker - HCBS</t>
  </si>
  <si>
    <t>Z1</t>
  </si>
  <si>
    <t>Licensed Social Worker Dual 399</t>
  </si>
  <si>
    <t>ZK</t>
  </si>
  <si>
    <t>Licensed Social Worker Dual 699</t>
  </si>
  <si>
    <t>YK</t>
  </si>
  <si>
    <t>TL</t>
  </si>
  <si>
    <t>Marriage/Family Counselor Trainee - HCBS</t>
  </si>
  <si>
    <t>Z2</t>
  </si>
  <si>
    <t>Marriage/Family Counselor Trainee Dual 399</t>
  </si>
  <si>
    <t>ZP</t>
  </si>
  <si>
    <t>Marriage/Family Counselor Trainee Dual 699</t>
  </si>
  <si>
    <t>YP</t>
  </si>
  <si>
    <t>MT</t>
  </si>
  <si>
    <t>67</t>
  </si>
  <si>
    <t>TF</t>
  </si>
  <si>
    <t>12</t>
  </si>
  <si>
    <t>MG</t>
  </si>
  <si>
    <t>97</t>
  </si>
  <si>
    <t>MS</t>
  </si>
  <si>
    <t>NP</t>
  </si>
  <si>
    <t>NA</t>
  </si>
  <si>
    <t>14</t>
  </si>
  <si>
    <t>36</t>
  </si>
  <si>
    <t>NC</t>
  </si>
  <si>
    <t>98</t>
  </si>
  <si>
    <t>PN</t>
  </si>
  <si>
    <t>Ophthalmology:  Ophthalmic Plastic and Reconstructive Surgery</t>
  </si>
  <si>
    <t>Optometrist</t>
  </si>
  <si>
    <t>Optometrist: Corneal and Contact Management</t>
  </si>
  <si>
    <t>Optometrist: Low Vision Rehabilitation</t>
  </si>
  <si>
    <t>Optometrist: Occupational Vision</t>
  </si>
  <si>
    <t>Optometrist: Pediatrics</t>
  </si>
  <si>
    <t>Optometrist: Vision Therapy</t>
  </si>
  <si>
    <t>20</t>
  </si>
  <si>
    <t>40</t>
  </si>
  <si>
    <t>53</t>
  </si>
  <si>
    <t>57</t>
  </si>
  <si>
    <t>55</t>
  </si>
  <si>
    <t>04</t>
  </si>
  <si>
    <t>72</t>
  </si>
  <si>
    <t>22</t>
  </si>
  <si>
    <t>PM</t>
  </si>
  <si>
    <t>NN</t>
  </si>
  <si>
    <t>Peer Recovery Supporter - HCBS</t>
  </si>
  <si>
    <t>Z3</t>
  </si>
  <si>
    <t>PS</t>
  </si>
  <si>
    <t>96</t>
  </si>
  <si>
    <t xml:space="preserve">Pharmacist: Critical Care </t>
  </si>
  <si>
    <t>B3</t>
  </si>
  <si>
    <t>Physician Assistant Dual 399</t>
  </si>
  <si>
    <t>ZU</t>
  </si>
  <si>
    <t>Physician Assistant Dual 699</t>
  </si>
  <si>
    <t>YU</t>
  </si>
  <si>
    <t>63</t>
  </si>
  <si>
    <t>84</t>
  </si>
  <si>
    <t>56</t>
  </si>
  <si>
    <t>86</t>
  </si>
  <si>
    <t>27</t>
  </si>
  <si>
    <t>62</t>
  </si>
  <si>
    <t>Psychologist Dual 399</t>
  </si>
  <si>
    <t>ZQ</t>
  </si>
  <si>
    <t>Psychologist Dual 699</t>
  </si>
  <si>
    <t>YQ</t>
  </si>
  <si>
    <t>Psychology Assistant - HCBS</t>
  </si>
  <si>
    <t>Z4</t>
  </si>
  <si>
    <t>Psychology Assistant Dual 399</t>
  </si>
  <si>
    <t>ZR</t>
  </si>
  <si>
    <t>Psychology Assistant Dual 699</t>
  </si>
  <si>
    <t>YR</t>
  </si>
  <si>
    <t>Psychology Intern - HCBS</t>
  </si>
  <si>
    <t>Z5</t>
  </si>
  <si>
    <t>Psychology Trainee - HCBS</t>
  </si>
  <si>
    <t>Z6</t>
  </si>
  <si>
    <t>Qualified MH Specialist - HCBS</t>
  </si>
  <si>
    <t>Z7</t>
  </si>
  <si>
    <t>Qualified MH Specialist 3 - HCBS</t>
  </si>
  <si>
    <t>Z8</t>
  </si>
  <si>
    <t>RS</t>
  </si>
  <si>
    <t>94</t>
  </si>
  <si>
    <t>92</t>
  </si>
  <si>
    <t>Registered Nurse Dual 399</t>
  </si>
  <si>
    <t>ZA</t>
  </si>
  <si>
    <t>Registered Nurse Dual 699</t>
  </si>
  <si>
    <t>YA</t>
  </si>
  <si>
    <t>NM</t>
  </si>
  <si>
    <t>RE</t>
  </si>
  <si>
    <t>A6</t>
  </si>
  <si>
    <t>SS</t>
  </si>
  <si>
    <t>Social Worker Assistant - HCBS</t>
  </si>
  <si>
    <t>Z9</t>
  </si>
  <si>
    <t>Social Worker Assistant Dual 399</t>
  </si>
  <si>
    <t>ZM</t>
  </si>
  <si>
    <t>Social Worker Assistant Dual 699</t>
  </si>
  <si>
    <t>YM</t>
  </si>
  <si>
    <t>Social Worker Trainee - HCBS</t>
  </si>
  <si>
    <t>Z0</t>
  </si>
  <si>
    <t>Social Worker Trainee Dual 399</t>
  </si>
  <si>
    <t>ZL</t>
  </si>
  <si>
    <t>Social Worker Trainee Dual 699</t>
  </si>
  <si>
    <t>YL</t>
  </si>
  <si>
    <t>02</t>
  </si>
  <si>
    <t>15</t>
  </si>
  <si>
    <t>91</t>
  </si>
  <si>
    <t>77</t>
  </si>
  <si>
    <t>75</t>
  </si>
  <si>
    <t>B5</t>
  </si>
  <si>
    <t>33</t>
  </si>
  <si>
    <t>61</t>
  </si>
  <si>
    <t>N/A</t>
  </si>
  <si>
    <t>African American</t>
  </si>
  <si>
    <t>Male</t>
  </si>
  <si>
    <t>Abkhaz</t>
  </si>
  <si>
    <t>Group Practice</t>
  </si>
  <si>
    <t>Alachua</t>
  </si>
  <si>
    <t>Business Office</t>
  </si>
  <si>
    <t>Asian</t>
  </si>
  <si>
    <t>Female</t>
  </si>
  <si>
    <t>Acehnese</t>
  </si>
  <si>
    <t>Solo Practitioner</t>
  </si>
  <si>
    <t>Baker</t>
  </si>
  <si>
    <t>Home Office</t>
  </si>
  <si>
    <t>Referral Only</t>
  </si>
  <si>
    <t>Caucasian</t>
  </si>
  <si>
    <t>Non-Binary</t>
  </si>
  <si>
    <t>Afan (Oromo)</t>
  </si>
  <si>
    <t xml:space="preserve"> </t>
  </si>
  <si>
    <t>Bay</t>
  </si>
  <si>
    <t>Hispanic</t>
  </si>
  <si>
    <t>Other</t>
  </si>
  <si>
    <t>Afar</t>
  </si>
  <si>
    <t>Bradford</t>
  </si>
  <si>
    <t>Native American</t>
  </si>
  <si>
    <t>Decline to Answer</t>
  </si>
  <si>
    <t>Af-Maay</t>
  </si>
  <si>
    <t>Brevard</t>
  </si>
  <si>
    <t>Afrikaans</t>
  </si>
  <si>
    <t>F</t>
  </si>
  <si>
    <t>Broward</t>
  </si>
  <si>
    <t>Akan</t>
  </si>
  <si>
    <t>G</t>
  </si>
  <si>
    <t>Calhoun</t>
  </si>
  <si>
    <t>Albanian</t>
  </si>
  <si>
    <t>H</t>
  </si>
  <si>
    <t>Charlotte</t>
  </si>
  <si>
    <t>Amarigna</t>
  </si>
  <si>
    <t>I</t>
  </si>
  <si>
    <t>Citrus</t>
  </si>
  <si>
    <t>American Sign Language</t>
  </si>
  <si>
    <t>J</t>
  </si>
  <si>
    <t>Clay</t>
  </si>
  <si>
    <t>Amharic</t>
  </si>
  <si>
    <t>K</t>
  </si>
  <si>
    <t>Collier</t>
  </si>
  <si>
    <t>Amoy</t>
  </si>
  <si>
    <t>L</t>
  </si>
  <si>
    <t>Columbia</t>
  </si>
  <si>
    <t>Apache</t>
  </si>
  <si>
    <t>M</t>
  </si>
  <si>
    <t>DeSoto</t>
  </si>
  <si>
    <t>Arabic</t>
  </si>
  <si>
    <t>Dixie</t>
  </si>
  <si>
    <t>Aramaic</t>
  </si>
  <si>
    <t>O</t>
  </si>
  <si>
    <t>Duval</t>
  </si>
  <si>
    <t>Armenian</t>
  </si>
  <si>
    <t>P</t>
  </si>
  <si>
    <t>Escambia</t>
  </si>
  <si>
    <t>Asian Indian</t>
  </si>
  <si>
    <t>Q</t>
  </si>
  <si>
    <t>Flagler</t>
  </si>
  <si>
    <t>Assamese</t>
  </si>
  <si>
    <t>R</t>
  </si>
  <si>
    <t>Franklin</t>
  </si>
  <si>
    <t>Assyrian</t>
  </si>
  <si>
    <t>S</t>
  </si>
  <si>
    <t>Gadsden</t>
  </si>
  <si>
    <t>Aymara</t>
  </si>
  <si>
    <t>T</t>
  </si>
  <si>
    <t>Gilchrist</t>
  </si>
  <si>
    <t>Azerbaijani</t>
  </si>
  <si>
    <t>U</t>
  </si>
  <si>
    <t>Glades</t>
  </si>
  <si>
    <t>Azeri</t>
  </si>
  <si>
    <t>V</t>
  </si>
  <si>
    <t>Gulf</t>
  </si>
  <si>
    <t>Bahasa Indonesia</t>
  </si>
  <si>
    <t>W</t>
  </si>
  <si>
    <t>Hamilton</t>
  </si>
  <si>
    <t>Bahasa Malaya</t>
  </si>
  <si>
    <t>Hardee</t>
  </si>
  <si>
    <t>Baltic</t>
  </si>
  <si>
    <t>Hendry</t>
  </si>
  <si>
    <t>Bangla</t>
  </si>
  <si>
    <t>Z</t>
  </si>
  <si>
    <t>Hernando</t>
  </si>
  <si>
    <t>Bashkir</t>
  </si>
  <si>
    <t>AA</t>
  </si>
  <si>
    <t>Highlands</t>
  </si>
  <si>
    <t>Basque</t>
  </si>
  <si>
    <t>AB</t>
  </si>
  <si>
    <t>Hillsborough</t>
  </si>
  <si>
    <t>Behdini</t>
  </si>
  <si>
    <t>Holmes</t>
  </si>
  <si>
    <t>Belarusian</t>
  </si>
  <si>
    <t>AD</t>
  </si>
  <si>
    <t>Indian River</t>
  </si>
  <si>
    <t>Bengali</t>
  </si>
  <si>
    <t>AE</t>
  </si>
  <si>
    <t>Jackson</t>
  </si>
  <si>
    <t>Bhutani</t>
  </si>
  <si>
    <t>AF</t>
  </si>
  <si>
    <t>Jefferson</t>
  </si>
  <si>
    <t>Bihari</t>
  </si>
  <si>
    <t>AG</t>
  </si>
  <si>
    <t>Lafayette</t>
  </si>
  <si>
    <t>Bislama</t>
  </si>
  <si>
    <t>AH</t>
  </si>
  <si>
    <t>Lake</t>
  </si>
  <si>
    <t>Bokharian</t>
  </si>
  <si>
    <t>AI</t>
  </si>
  <si>
    <t>Lee</t>
  </si>
  <si>
    <t>Bosnian</t>
  </si>
  <si>
    <t>AJ</t>
  </si>
  <si>
    <t>Leon</t>
  </si>
  <si>
    <t>Braille</t>
  </si>
  <si>
    <t>AK</t>
  </si>
  <si>
    <t>Levy</t>
  </si>
  <si>
    <t>Breton</t>
  </si>
  <si>
    <t>AL</t>
  </si>
  <si>
    <t>Liberty</t>
  </si>
  <si>
    <t>Bulgarian</t>
  </si>
  <si>
    <t>AM</t>
  </si>
  <si>
    <t>Madison</t>
  </si>
  <si>
    <t>Burmese</t>
  </si>
  <si>
    <t>AN</t>
  </si>
  <si>
    <t>Manatee</t>
  </si>
  <si>
    <t>Byelorussian</t>
  </si>
  <si>
    <t>AO</t>
  </si>
  <si>
    <t>Marion</t>
  </si>
  <si>
    <t>Cambodian</t>
  </si>
  <si>
    <t>AP</t>
  </si>
  <si>
    <t>Martin</t>
  </si>
  <si>
    <t>Cambodian/Campuchean</t>
  </si>
  <si>
    <t>AQ</t>
  </si>
  <si>
    <t>Miami-Dade</t>
  </si>
  <si>
    <t>Cantonese</t>
  </si>
  <si>
    <t>AR</t>
  </si>
  <si>
    <t>Monroe</t>
  </si>
  <si>
    <t>Cape Verde Creole</t>
  </si>
  <si>
    <t>AS</t>
  </si>
  <si>
    <t>Nassau</t>
  </si>
  <si>
    <t>Catalan</t>
  </si>
  <si>
    <t>AT</t>
  </si>
  <si>
    <t>Okaloosa</t>
  </si>
  <si>
    <t>Cebuano</t>
  </si>
  <si>
    <t>AU</t>
  </si>
  <si>
    <t>Okeechobee</t>
  </si>
  <si>
    <t>Chaldean Neo-Aramaic</t>
  </si>
  <si>
    <t>AV</t>
  </si>
  <si>
    <t>Orange</t>
  </si>
  <si>
    <t>Chamorro</t>
  </si>
  <si>
    <t>AW</t>
  </si>
  <si>
    <t>Osceola</t>
  </si>
  <si>
    <t>Chau-Chow</t>
  </si>
  <si>
    <t>AX</t>
  </si>
  <si>
    <t>Palm Beach</t>
  </si>
  <si>
    <t>Cherokee(Tsalagi)</t>
  </si>
  <si>
    <t>AY</t>
  </si>
  <si>
    <t>Pasco</t>
  </si>
  <si>
    <t>Chinese</t>
  </si>
  <si>
    <t>AZ</t>
  </si>
  <si>
    <t>Pinellas</t>
  </si>
  <si>
    <t>Chuukese</t>
  </si>
  <si>
    <t>Polk</t>
  </si>
  <si>
    <t>Coptic</t>
  </si>
  <si>
    <t>Putnam</t>
  </si>
  <si>
    <t>Corsican</t>
  </si>
  <si>
    <t>Santa Rosa</t>
  </si>
  <si>
    <t>CPE</t>
  </si>
  <si>
    <t>Sarasota</t>
  </si>
  <si>
    <t>Creole</t>
  </si>
  <si>
    <t>Seminole</t>
  </si>
  <si>
    <t>Croatian</t>
  </si>
  <si>
    <t>St. Johns</t>
  </si>
  <si>
    <t>Czech</t>
  </si>
  <si>
    <t>St. Lucie</t>
  </si>
  <si>
    <t>Danish</t>
  </si>
  <si>
    <t>Sumter</t>
  </si>
  <si>
    <t>Dari</t>
  </si>
  <si>
    <t>Suwannee</t>
  </si>
  <si>
    <t>Dinka</t>
  </si>
  <si>
    <t>Taylor</t>
  </si>
  <si>
    <t>Dutch</t>
  </si>
  <si>
    <t>Union</t>
  </si>
  <si>
    <t>Dzongkha</t>
  </si>
  <si>
    <t>Volusia</t>
  </si>
  <si>
    <t>Edo</t>
  </si>
  <si>
    <t>Wakulla</t>
  </si>
  <si>
    <t>Efik</t>
  </si>
  <si>
    <t>Walton</t>
  </si>
  <si>
    <t>Egyptian Arabic</t>
  </si>
  <si>
    <t>Washington</t>
  </si>
  <si>
    <t>Elamite</t>
  </si>
  <si>
    <t>English</t>
  </si>
  <si>
    <t>Esperanto</t>
  </si>
  <si>
    <t>Estonian</t>
  </si>
  <si>
    <t>Fanti</t>
  </si>
  <si>
    <t>Faroese</t>
  </si>
  <si>
    <t>Farsi</t>
  </si>
  <si>
    <t>Fiji</t>
  </si>
  <si>
    <t>Fijian</t>
  </si>
  <si>
    <t>Filipino</t>
  </si>
  <si>
    <t>Finnish</t>
  </si>
  <si>
    <t>Flemish</t>
  </si>
  <si>
    <t>Foochow/Fuzhou</t>
  </si>
  <si>
    <t>Formosan</t>
  </si>
  <si>
    <t>French</t>
  </si>
  <si>
    <t>French Creole</t>
  </si>
  <si>
    <t>Frisian</t>
  </si>
  <si>
    <t>Frisian Eastern</t>
  </si>
  <si>
    <t>Frisian Western</t>
  </si>
  <si>
    <t>Fujian</t>
  </si>
  <si>
    <t>Fukien</t>
  </si>
  <si>
    <t>Fukienese</t>
  </si>
  <si>
    <t>Fula</t>
  </si>
  <si>
    <t>Ga</t>
  </si>
  <si>
    <t>Gaelic</t>
  </si>
  <si>
    <t>Galician</t>
  </si>
  <si>
    <t>Georgian</t>
  </si>
  <si>
    <t>German</t>
  </si>
  <si>
    <t>Ghanaian</t>
  </si>
  <si>
    <t>Greek</t>
  </si>
  <si>
    <t>Greenlandic</t>
  </si>
  <si>
    <t>Guarani</t>
  </si>
  <si>
    <t>Gujarati</t>
  </si>
  <si>
    <t>Haitian</t>
  </si>
  <si>
    <t>Haitian Creole</t>
  </si>
  <si>
    <t>Hakka</t>
  </si>
  <si>
    <t>Halia</t>
  </si>
  <si>
    <t>Hausa</t>
  </si>
  <si>
    <t>Hawaiian</t>
  </si>
  <si>
    <t>Hawrami</t>
  </si>
  <si>
    <t>Hebrew</t>
  </si>
  <si>
    <t>Hiligaynon</t>
  </si>
  <si>
    <t>Hindi</t>
  </si>
  <si>
    <t>Hmong</t>
  </si>
  <si>
    <t>Hopi</t>
  </si>
  <si>
    <t>Hunanese</t>
  </si>
  <si>
    <t>Hungarian</t>
  </si>
  <si>
    <t>Icelandic</t>
  </si>
  <si>
    <t>Ido</t>
  </si>
  <si>
    <t>Igbo</t>
  </si>
  <si>
    <t>Ilocano</t>
  </si>
  <si>
    <t>Indian</t>
  </si>
  <si>
    <t>Indic</t>
  </si>
  <si>
    <t>Indonesian</t>
  </si>
  <si>
    <t>Indu</t>
  </si>
  <si>
    <t>Interlingua</t>
  </si>
  <si>
    <t>Interlingue</t>
  </si>
  <si>
    <t>Inuktitut</t>
  </si>
  <si>
    <t>Inupiaq</t>
  </si>
  <si>
    <t>Iranian</t>
  </si>
  <si>
    <t>Irish</t>
  </si>
  <si>
    <t>Italian</t>
  </si>
  <si>
    <t>Jamaican Creole</t>
  </si>
  <si>
    <t>Japanese</t>
  </si>
  <si>
    <t>Javanese</t>
  </si>
  <si>
    <t>Kannada</t>
  </si>
  <si>
    <t>Kashmin</t>
  </si>
  <si>
    <t>Kashmiri</t>
  </si>
  <si>
    <t>Kazakh</t>
  </si>
  <si>
    <t>Keran</t>
  </si>
  <si>
    <t>Khasi</t>
  </si>
  <si>
    <t>Khmer</t>
  </si>
  <si>
    <t>Kinyarwanda</t>
  </si>
  <si>
    <t>Kirghiz</t>
  </si>
  <si>
    <t>Kirundi</t>
  </si>
  <si>
    <t>Kiswahili</t>
  </si>
  <si>
    <t>Konkani</t>
  </si>
  <si>
    <t>Korean</t>
  </si>
  <si>
    <t>Kpelle</t>
  </si>
  <si>
    <t>Krio</t>
  </si>
  <si>
    <t>Kunama</t>
  </si>
  <si>
    <t>Kurdish</t>
  </si>
  <si>
    <t>Kurmanji</t>
  </si>
  <si>
    <t>Kurundi</t>
  </si>
  <si>
    <t>Kutchi</t>
  </si>
  <si>
    <t>Lao</t>
  </si>
  <si>
    <t>Laothian</t>
  </si>
  <si>
    <t>Laotian</t>
  </si>
  <si>
    <t>Latin</t>
  </si>
  <si>
    <t>Latvian</t>
  </si>
  <si>
    <t>Lebanese</t>
  </si>
  <si>
    <t>Lelegu</t>
  </si>
  <si>
    <t>Lingala</t>
  </si>
  <si>
    <t>Lithuanian</t>
  </si>
  <si>
    <t>Loatian</t>
  </si>
  <si>
    <t>Luganda</t>
  </si>
  <si>
    <t>Macedonian</t>
  </si>
  <si>
    <t>Malagasy</t>
  </si>
  <si>
    <t>Malasian</t>
  </si>
  <si>
    <t>Malay</t>
  </si>
  <si>
    <t>Malayalam</t>
  </si>
  <si>
    <t>Malaysian</t>
  </si>
  <si>
    <t>Maltese</t>
  </si>
  <si>
    <t>Mandarin</t>
  </si>
  <si>
    <t>Mandarin Chinese</t>
  </si>
  <si>
    <t>Manipuri</t>
  </si>
  <si>
    <t>Maori</t>
  </si>
  <si>
    <t>Marathi</t>
  </si>
  <si>
    <t>Marshallese</t>
  </si>
  <si>
    <t>Masalhi</t>
  </si>
  <si>
    <t>Memon</t>
  </si>
  <si>
    <t>Mende</t>
  </si>
  <si>
    <t>Mien</t>
  </si>
  <si>
    <t>Mixe</t>
  </si>
  <si>
    <t>Mixteco-Alta</t>
  </si>
  <si>
    <t>Mixteco-Baja</t>
  </si>
  <si>
    <t>Mohawk</t>
  </si>
  <si>
    <t>Moldavian</t>
  </si>
  <si>
    <t>Mongolian</t>
  </si>
  <si>
    <t>Mon-Khmer</t>
  </si>
  <si>
    <t>Movami</t>
  </si>
  <si>
    <t>Nauru</t>
  </si>
  <si>
    <t>Navajo</t>
  </si>
  <si>
    <t>Nepali</t>
  </si>
  <si>
    <t>Nigerian</t>
  </si>
  <si>
    <t>None</t>
  </si>
  <si>
    <t>Norwegian</t>
  </si>
  <si>
    <t>Nuer</t>
  </si>
  <si>
    <t>Occitan</t>
  </si>
  <si>
    <t>Oriya</t>
  </si>
  <si>
    <t>Ouly</t>
  </si>
  <si>
    <t>Pakistani</t>
  </si>
  <si>
    <t>Pampango/Kapampangan</t>
  </si>
  <si>
    <t>Pangasinian</t>
  </si>
  <si>
    <t>Pansa</t>
  </si>
  <si>
    <t>Pashto</t>
  </si>
  <si>
    <t>Patois</t>
  </si>
  <si>
    <t>Persian</t>
  </si>
  <si>
    <t>Philippine</t>
  </si>
  <si>
    <t>Polish</t>
  </si>
  <si>
    <t>Portuguese</t>
  </si>
  <si>
    <t>Portuguese Creole</t>
  </si>
  <si>
    <t>Punjabi</t>
  </si>
  <si>
    <t>Puyallup</t>
  </si>
  <si>
    <t>Q'anjob'al</t>
  </si>
  <si>
    <t>Quechua</t>
  </si>
  <si>
    <t>Rhaeto-Romance</t>
  </si>
  <si>
    <t>Romanian</t>
  </si>
  <si>
    <t>Runyankole</t>
  </si>
  <si>
    <t>Russian</t>
  </si>
  <si>
    <t>Salish (Salishan)</t>
  </si>
  <si>
    <t>Samoan</t>
  </si>
  <si>
    <t>Sango</t>
  </si>
  <si>
    <t>Sanhala</t>
  </si>
  <si>
    <t>Sanskrit</t>
  </si>
  <si>
    <t>Scot Gaelic</t>
  </si>
  <si>
    <t>Serbian</t>
  </si>
  <si>
    <t>Serbo-Croatian</t>
  </si>
  <si>
    <t>Sesotho</t>
  </si>
  <si>
    <t>Setswana</t>
  </si>
  <si>
    <t>Shanghain</t>
  </si>
  <si>
    <t>Shanghainese</t>
  </si>
  <si>
    <t>Shona</t>
  </si>
  <si>
    <t>Siamese</t>
  </si>
  <si>
    <t>Sicilian</t>
  </si>
  <si>
    <t>Sindhi</t>
  </si>
  <si>
    <t>Singhalese</t>
  </si>
  <si>
    <t>Sinhalese</t>
  </si>
  <si>
    <t>Siswati</t>
  </si>
  <si>
    <t>Slavic</t>
  </si>
  <si>
    <t>Slovak</t>
  </si>
  <si>
    <t>Slovene</t>
  </si>
  <si>
    <t>Somali</t>
  </si>
  <si>
    <t>Southern Sotho</t>
  </si>
  <si>
    <t>Spanish</t>
  </si>
  <si>
    <t>Srilankin</t>
  </si>
  <si>
    <t>Sundanese</t>
  </si>
  <si>
    <t>Swahili</t>
  </si>
  <si>
    <t>Swati</t>
  </si>
  <si>
    <t>Swedish</t>
  </si>
  <si>
    <t>Swiss German</t>
  </si>
  <si>
    <t>Syrian</t>
  </si>
  <si>
    <t>Tagalog</t>
  </si>
  <si>
    <t>Taiwanese</t>
  </si>
  <si>
    <t>Tajik</t>
  </si>
  <si>
    <t>Talgo</t>
  </si>
  <si>
    <t>Tamil</t>
  </si>
  <si>
    <t>Tarasco</t>
  </si>
  <si>
    <t>Tasalos</t>
  </si>
  <si>
    <t>Tatar</t>
  </si>
  <si>
    <t>Telugu</t>
  </si>
  <si>
    <t>Thai</t>
  </si>
  <si>
    <t>Tibetan Central</t>
  </si>
  <si>
    <t>Tibetan Standard</t>
  </si>
  <si>
    <t>Tigrinya</t>
  </si>
  <si>
    <t>Tio Chiu Or Teochew</t>
  </si>
  <si>
    <t>Tohono O'odham</t>
  </si>
  <si>
    <t>Toisanese</t>
  </si>
  <si>
    <t>Tongan</t>
  </si>
  <si>
    <t>Tsonga</t>
  </si>
  <si>
    <t>Tunisian Arabic</t>
  </si>
  <si>
    <t>Turkish</t>
  </si>
  <si>
    <t>Turkmen</t>
  </si>
  <si>
    <t>Twi</t>
  </si>
  <si>
    <t>Uigar</t>
  </si>
  <si>
    <t>Uigur</t>
  </si>
  <si>
    <t>Ukrainian</t>
  </si>
  <si>
    <t>Urdi</t>
  </si>
  <si>
    <t>Urdu</t>
  </si>
  <si>
    <t>Uzbek</t>
  </si>
  <si>
    <t>Vietnamese</t>
  </si>
  <si>
    <t>Visaya</t>
  </si>
  <si>
    <t>Volapuk</t>
  </si>
  <si>
    <t>Welsh</t>
  </si>
  <si>
    <t>Wolof</t>
  </si>
  <si>
    <t>Wu</t>
  </si>
  <si>
    <t>Xhosa</t>
  </si>
  <si>
    <t>Yakima</t>
  </si>
  <si>
    <t>Yaqui</t>
  </si>
  <si>
    <t>Yiddish</t>
  </si>
  <si>
    <t>Yoruba</t>
  </si>
  <si>
    <t>Zapotec</t>
  </si>
  <si>
    <t>Zerbaijani</t>
  </si>
  <si>
    <t>Zhuang</t>
  </si>
  <si>
    <t>Zulu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</si>
</sst>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lt;=9999999]###\-####;\(###\)\ ###\-####"/>
    <numFmt numFmtId="165" formatCode="00000"/>
    <numFmt numFmtId="166" formatCode="00\-0000000"/>
    <numFmt numFmtId="167" formatCode="mm/dd/yy;@"/>
    <numFmt numFmtId="168" formatCode="000\-00\-0000"/>
  </numFmts>
  <fonts count="54" x14ac:knownFonts="1">
    <font>
      <sz val="11"/>
      <color theme="1"/>
      <name val="Calibri"/>
      <family val="2"/>
      <scheme val="minor"/>
    </font>
    <font>
      <sz val="11"/>
      <color theme="1"/>
      <name val="Trebuchet MS"/>
      <family val="2"/>
    </font>
    <font>
      <b/>
      <sz val="11"/>
      <color theme="1"/>
      <name val="Trebuchet MS"/>
      <family val="2"/>
    </font>
    <font>
      <b/>
      <sz val="12"/>
      <color theme="1"/>
      <name val="Trebuchet MS"/>
      <family val="2"/>
    </font>
    <font>
      <sz val="12"/>
      <color theme="1"/>
      <name val="Trebuchet MS"/>
      <family val="2"/>
    </font>
    <font>
      <b/>
      <sz val="16"/>
      <color theme="1"/>
      <name val="Trebuchet MS"/>
      <family val="2"/>
    </font>
    <font>
      <sz val="16"/>
      <color theme="1"/>
      <name val="Trebuchet MS"/>
      <family val="2"/>
    </font>
    <font>
      <sz val="12"/>
      <color rgb="FFFF0000"/>
      <name val="Calibri"/>
      <family val="2"/>
      <scheme val="minor"/>
    </font>
    <font>
      <sz val="11"/>
      <color rgb="FF006100"/>
      <name val="Calibri"/>
      <family val="2"/>
      <scheme val="minor"/>
    </font>
    <font>
      <sz val="11"/>
      <color rgb="FF9C0006"/>
      <name val="Calibri"/>
      <family val="2"/>
      <scheme val="minor"/>
    </font>
    <font>
      <sz val="13"/>
      <color theme="1"/>
      <name val="Calibri"/>
      <family val="2"/>
      <scheme val="minor"/>
    </font>
    <font>
      <sz val="12"/>
      <color rgb="FF0000FF"/>
      <name val="Verdana"/>
      <family val="2"/>
    </font>
    <font>
      <b/>
      <sz val="11"/>
      <color theme="1"/>
      <name val="Calibri"/>
      <family val="2"/>
      <scheme val="minor"/>
    </font>
    <font>
      <b/>
      <sz val="13"/>
      <name val="Calibri"/>
      <family val="2"/>
      <scheme val="minor"/>
    </font>
    <font>
      <sz val="11"/>
      <name val="Calibri"/>
      <family val="2"/>
      <scheme val="minor"/>
    </font>
    <font>
      <b/>
      <sz val="11"/>
      <name val="Calibri"/>
      <family val="2"/>
      <scheme val="minor"/>
    </font>
    <font>
      <u/>
      <sz val="11"/>
      <color theme="10"/>
      <name val="Calibri"/>
      <family val="2"/>
      <scheme val="minor"/>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0"/>
      <color theme="1"/>
      <name val="Arial"/>
      <family val="2"/>
    </font>
    <font>
      <sz val="10"/>
      <color rgb="FFFF0000"/>
      <name val="Arial"/>
      <family val="2"/>
    </font>
    <font>
      <sz val="10"/>
      <name val="Arial"/>
      <family val="2"/>
    </font>
    <font>
      <u/>
      <sz val="10"/>
      <color theme="10"/>
      <name val="Arial"/>
      <family val="2"/>
    </font>
    <font>
      <sz val="9"/>
      <color theme="0"/>
      <name val="Arial"/>
      <family val="2"/>
    </font>
    <font>
      <b/>
      <u/>
      <sz val="11"/>
      <color theme="1"/>
      <name val="Arial"/>
      <family val="2"/>
    </font>
    <font>
      <b/>
      <sz val="11"/>
      <color rgb="FFFF0000"/>
      <name val="Arial"/>
      <family val="2"/>
    </font>
    <font>
      <u/>
      <sz val="10"/>
      <color rgb="FFFFFF00"/>
      <name val="Arial"/>
      <family val="2"/>
    </font>
    <font>
      <b/>
      <sz val="20"/>
      <color theme="1"/>
      <name val="Arial"/>
      <family val="2"/>
    </font>
    <font>
      <sz val="8"/>
      <color theme="0"/>
      <name val="Arial"/>
      <family val="2"/>
    </font>
    <font>
      <b/>
      <u/>
      <sz val="11"/>
      <color rgb="FFFF0000"/>
      <name val="Arial"/>
      <family val="2"/>
    </font>
    <font>
      <u/>
      <sz val="9"/>
      <color theme="0"/>
      <name val="Arial"/>
      <family val="2"/>
    </font>
    <font>
      <sz val="9"/>
      <color rgb="FFFF0000"/>
      <name val="Arial"/>
      <family val="2"/>
    </font>
    <font>
      <sz val="11"/>
      <color rgb="FFFF0000"/>
      <name val="Calibri"/>
      <family val="2"/>
      <scheme val="minor"/>
    </font>
    <font>
      <sz val="8"/>
      <name val="Calibri"/>
      <family val="2"/>
      <scheme val="minor"/>
    </font>
    <font>
      <sz val="8"/>
      <color theme="1"/>
      <name val="Arial"/>
      <family val="2"/>
    </font>
    <font>
      <sz val="8"/>
      <color rgb="FFFF0000"/>
      <name val="Arial"/>
      <family val="2"/>
    </font>
    <font>
      <b/>
      <sz val="11"/>
      <color theme="0"/>
      <name val="Arial"/>
      <family val="2"/>
    </font>
    <font>
      <b/>
      <u/>
      <sz val="11"/>
      <color theme="0"/>
      <name val="Arial"/>
      <family val="2"/>
    </font>
    <font>
      <b/>
      <u/>
      <sz val="10"/>
      <color rgb="FFFF0000"/>
      <name val="Arial"/>
      <family val="2"/>
    </font>
    <font>
      <b/>
      <sz val="8"/>
      <color theme="0"/>
      <name val="Arial"/>
      <family val="2"/>
    </font>
    <font>
      <u/>
      <sz val="8"/>
      <color theme="0"/>
      <name val="Arial"/>
      <family val="2"/>
    </font>
    <font>
      <b/>
      <sz val="8"/>
      <color theme="1"/>
      <name val="Arial"/>
      <family val="2"/>
    </font>
    <font>
      <b/>
      <sz val="8"/>
      <color rgb="FFFF0000"/>
      <name val="Arial"/>
      <family val="2"/>
    </font>
    <font>
      <sz val="8"/>
      <name val="Arial"/>
      <family val="2"/>
    </font>
    <font>
      <sz val="11"/>
      <name val="Calibri"/>
      <family val="2"/>
    </font>
    <font>
      <b/>
      <sz val="10"/>
      <color rgb="FF000000"/>
      <name val="Segoe UI"/>
      <family val="2"/>
    </font>
    <font>
      <sz val="10"/>
      <color rgb="FF000000"/>
      <name val="Segoe UI"/>
      <family val="2"/>
    </font>
    <font>
      <sz val="10"/>
      <color theme="1"/>
      <name val="Calibri"/>
      <family val="2"/>
    </font>
    <font>
      <u/>
      <sz val="11"/>
      <color rgb="FFFFFF00"/>
      <name val="Arial"/>
      <family val="2"/>
    </font>
    <font>
      <sz val="9"/>
      <color indexed="81"/>
      <name val="Tahoma"/>
      <family val="2"/>
    </font>
    <font>
      <i/>
      <sz val="9"/>
      <color indexed="81"/>
      <name val="Tahoma"/>
      <family val="2"/>
    </font>
  </fonts>
  <fills count="15">
    <fill>
      <patternFill patternType="none"/>
    </fill>
    <fill>
      <patternFill patternType="gray125"/>
    </fill>
    <fill>
      <patternFill patternType="solid">
        <fgColor rgb="FFFFC0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0" tint="-0.249977111117893"/>
        <bgColor indexed="64"/>
      </patternFill>
    </fill>
    <fill>
      <patternFill patternType="solid">
        <fgColor rgb="FFFF00FF"/>
        <bgColor indexed="64"/>
      </patternFill>
    </fill>
    <fill>
      <patternFill patternType="solid">
        <fgColor rgb="FFFF7453"/>
        <bgColor indexed="64"/>
      </patternFill>
    </fill>
    <fill>
      <patternFill patternType="solid">
        <fgColor rgb="FFFFFF00"/>
        <bgColor indexed="64"/>
      </patternFill>
    </fill>
    <fill>
      <patternFill patternType="solid">
        <fgColor rgb="FFFF0000"/>
        <bgColor indexed="64"/>
      </patternFill>
    </fill>
    <fill>
      <patternFill patternType="solid">
        <fgColor theme="5" tint="0.79998168889431442"/>
        <bgColor indexed="64"/>
      </patternFill>
    </fill>
    <fill>
      <patternFill patternType="solid">
        <fgColor rgb="FFADD8E6"/>
        <bgColor rgb="FFADD8E6"/>
      </patternFill>
    </fill>
  </fills>
  <borders count="52">
    <border>
      <left/>
      <right/>
      <top/>
      <bottom/>
      <diagonal/>
    </border>
    <border>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right style="thin">
        <color theme="4"/>
      </right>
      <top style="thin">
        <color theme="4"/>
      </top>
      <bottom/>
      <diagonal/>
    </border>
    <border>
      <left style="medium">
        <color auto="1"/>
      </left>
      <right/>
      <top/>
      <bottom style="medium">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top style="medium">
        <color auto="1"/>
      </top>
      <bottom/>
      <diagonal/>
    </border>
    <border>
      <left style="thin">
        <color auto="1"/>
      </left>
      <right style="thin">
        <color auto="1"/>
      </right>
      <top style="medium">
        <color indexed="64"/>
      </top>
      <bottom style="medium">
        <color indexed="64"/>
      </bottom>
      <diagonal/>
    </border>
    <border>
      <left/>
      <right style="medium">
        <color auto="1"/>
      </right>
      <top/>
      <bottom/>
      <diagonal/>
    </border>
    <border>
      <left style="medium">
        <color auto="1"/>
      </left>
      <right/>
      <top/>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right/>
      <top style="thin">
        <color auto="1"/>
      </top>
      <bottom/>
      <diagonal/>
    </border>
    <border>
      <left style="thin">
        <color auto="1"/>
      </left>
      <right style="thin">
        <color auto="1"/>
      </right>
      <top/>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8" fillId="5" borderId="0" applyNumberFormat="0" applyBorder="0" applyAlignment="0" applyProtection="0"/>
    <xf numFmtId="0" fontId="9" fillId="6" borderId="0" applyNumberFormat="0" applyBorder="0" applyAlignment="0" applyProtection="0"/>
    <xf numFmtId="0" fontId="16" fillId="0" borderId="0" applyNumberFormat="0" applyFill="0" applyBorder="0" applyAlignment="0" applyProtection="0"/>
  </cellStyleXfs>
  <cellXfs count="226">
    <xf numFmtId="0" fontId="0" fillId="0" borderId="0" xfId="0"/>
    <xf numFmtId="0" fontId="0" fillId="0" borderId="0" xfId="0" applyAlignment="1">
      <alignment wrapText="1"/>
    </xf>
    <xf numFmtId="0" fontId="0" fillId="7" borderId="0" xfId="0" applyFill="1"/>
    <xf numFmtId="0" fontId="9" fillId="6" borderId="0" xfId="2" applyAlignment="1">
      <alignment wrapText="1"/>
    </xf>
    <xf numFmtId="0" fontId="8" fillId="5" borderId="0" xfId="1" applyAlignment="1">
      <alignment wrapText="1"/>
    </xf>
    <xf numFmtId="0" fontId="8" fillId="7" borderId="0" xfId="1" applyFill="1"/>
    <xf numFmtId="0" fontId="0" fillId="7" borderId="0" xfId="0" applyFill="1" applyAlignment="1">
      <alignment vertical="top" wrapText="1"/>
    </xf>
    <xf numFmtId="0" fontId="0" fillId="0" borderId="0" xfId="0" applyAlignment="1">
      <alignment horizontal="center" vertical="top" wrapText="1"/>
    </xf>
    <xf numFmtId="0" fontId="0" fillId="0" borderId="0" xfId="0" applyAlignment="1" applyProtection="1">
      <alignment wrapText="1"/>
      <protection locked="0"/>
    </xf>
    <xf numFmtId="0" fontId="10" fillId="8" borderId="0" xfId="0" applyFont="1" applyFill="1" applyAlignment="1">
      <alignment wrapText="1"/>
    </xf>
    <xf numFmtId="0" fontId="10" fillId="8" borderId="0" xfId="0" applyFont="1" applyFill="1"/>
    <xf numFmtId="0" fontId="13" fillId="8" borderId="0" xfId="0" applyFont="1" applyFill="1" applyAlignment="1">
      <alignment horizontal="center" vertical="top" wrapText="1"/>
    </xf>
    <xf numFmtId="0" fontId="0" fillId="7" borderId="0" xfId="0" applyFill="1" applyAlignment="1">
      <alignment vertical="top"/>
    </xf>
    <xf numFmtId="0" fontId="12" fillId="0" borderId="0" xfId="0" applyFont="1" applyAlignment="1">
      <alignment horizontal="center" vertical="top" wrapText="1"/>
    </xf>
    <xf numFmtId="0" fontId="0" fillId="7" borderId="0" xfId="0" applyFill="1" applyAlignment="1">
      <alignment horizontal="left" vertical="top"/>
    </xf>
    <xf numFmtId="0" fontId="13" fillId="9" borderId="15" xfId="0" applyFont="1" applyFill="1" applyBorder="1" applyAlignment="1">
      <alignment horizontal="center" vertical="top" wrapText="1"/>
    </xf>
    <xf numFmtId="0" fontId="14" fillId="9" borderId="0" xfId="0" applyFont="1" applyFill="1"/>
    <xf numFmtId="0" fontId="15" fillId="9" borderId="0" xfId="0" applyFont="1" applyFill="1" applyAlignment="1">
      <alignment horizontal="center" vertical="top" wrapText="1"/>
    </xf>
    <xf numFmtId="0" fontId="14" fillId="9" borderId="0" xfId="0" applyFont="1" applyFill="1" applyAlignment="1">
      <alignment wrapText="1"/>
    </xf>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left" wrapText="1"/>
    </xf>
    <xf numFmtId="0" fontId="0" fillId="7" borderId="0" xfId="0" applyFill="1" applyAlignment="1">
      <alignment horizontal="left"/>
    </xf>
    <xf numFmtId="0" fontId="35" fillId="0" borderId="0" xfId="0" applyFont="1"/>
    <xf numFmtId="0" fontId="0" fillId="11" borderId="0" xfId="0" applyFill="1" applyAlignment="1">
      <alignment horizontal="left" wrapText="1"/>
    </xf>
    <xf numFmtId="0" fontId="0" fillId="11" borderId="0" xfId="0" applyFill="1" applyAlignment="1">
      <alignment wrapText="1"/>
    </xf>
    <xf numFmtId="0" fontId="9" fillId="11" borderId="0" xfId="2" applyFill="1" applyAlignment="1">
      <alignment wrapText="1"/>
    </xf>
    <xf numFmtId="0" fontId="10" fillId="11" borderId="0" xfId="0" applyFont="1" applyFill="1" applyAlignment="1">
      <alignment wrapText="1"/>
    </xf>
    <xf numFmtId="0" fontId="0" fillId="11" borderId="0" xfId="0" applyFill="1"/>
    <xf numFmtId="0" fontId="14" fillId="11" borderId="0" xfId="0" applyFont="1" applyFill="1"/>
    <xf numFmtId="0" fontId="14" fillId="11" borderId="0" xfId="0" applyFont="1" applyFill="1" applyAlignment="1">
      <alignment wrapText="1"/>
    </xf>
    <xf numFmtId="0" fontId="9" fillId="0" borderId="0" xfId="2" applyFill="1" applyAlignment="1">
      <alignment wrapText="1"/>
    </xf>
    <xf numFmtId="0" fontId="10" fillId="0" borderId="0" xfId="0" applyFont="1" applyAlignment="1">
      <alignment wrapText="1"/>
    </xf>
    <xf numFmtId="0" fontId="14" fillId="0" borderId="0" xfId="0" applyFont="1"/>
    <xf numFmtId="0" fontId="14" fillId="0" borderId="0" xfId="0" applyFont="1" applyAlignment="1">
      <alignment wrapText="1"/>
    </xf>
    <xf numFmtId="0" fontId="19" fillId="0" borderId="0" xfId="0" applyFont="1" applyAlignment="1">
      <alignment vertical="center"/>
    </xf>
    <xf numFmtId="11" fontId="0" fillId="0" borderId="0" xfId="0" applyNumberFormat="1"/>
    <xf numFmtId="0" fontId="5" fillId="0" borderId="2" xfId="0" applyFont="1" applyBorder="1" applyAlignment="1" applyProtection="1">
      <alignment vertical="center"/>
      <protection locked="0"/>
    </xf>
    <xf numFmtId="0" fontId="30" fillId="0" borderId="0" xfId="0" applyFont="1" applyAlignment="1" applyProtection="1">
      <alignment vertical="center"/>
      <protection locked="0"/>
    </xf>
    <xf numFmtId="0" fontId="22" fillId="10" borderId="28" xfId="0" applyFont="1" applyFill="1" applyBorder="1" applyAlignment="1" applyProtection="1">
      <alignment horizontal="center" vertical="center" wrapText="1"/>
      <protection locked="0"/>
    </xf>
    <xf numFmtId="0" fontId="17" fillId="0" borderId="25"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165" fontId="17" fillId="0" borderId="12" xfId="0" applyNumberFormat="1" applyFont="1" applyBorder="1" applyAlignment="1" applyProtection="1">
      <alignment horizontal="center" vertical="center"/>
      <protection locked="0"/>
    </xf>
    <xf numFmtId="0" fontId="19" fillId="0" borderId="12" xfId="0" applyFont="1" applyBorder="1" applyAlignment="1" applyProtection="1">
      <alignment vertical="center"/>
      <protection locked="0"/>
    </xf>
    <xf numFmtId="0" fontId="22" fillId="0" borderId="7" xfId="0" applyFont="1" applyBorder="1" applyAlignment="1" applyProtection="1">
      <alignment horizontal="center" vertical="center"/>
      <protection locked="0"/>
    </xf>
    <xf numFmtId="0" fontId="18" fillId="2" borderId="16" xfId="0" applyFont="1" applyFill="1" applyBorder="1" applyAlignment="1" applyProtection="1">
      <alignment vertical="center"/>
      <protection locked="0"/>
    </xf>
    <xf numFmtId="0" fontId="18" fillId="2" borderId="1" xfId="0" applyFont="1" applyFill="1" applyBorder="1" applyAlignment="1" applyProtection="1">
      <alignment vertical="center"/>
      <protection locked="0"/>
    </xf>
    <xf numFmtId="0" fontId="19" fillId="0" borderId="2" xfId="0" applyFont="1" applyBorder="1" applyAlignment="1" applyProtection="1">
      <alignment horizontal="center" vertical="center"/>
      <protection locked="0"/>
    </xf>
    <xf numFmtId="0" fontId="38" fillId="0" borderId="2"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31" fillId="10" borderId="33" xfId="0" applyFont="1" applyFill="1" applyBorder="1" applyAlignment="1" applyProtection="1">
      <alignment horizontal="center" vertical="center" wrapText="1"/>
      <protection locked="0"/>
    </xf>
    <xf numFmtId="0" fontId="1" fillId="0" borderId="0" xfId="0" applyFont="1" applyAlignment="1">
      <alignment vertical="center"/>
    </xf>
    <xf numFmtId="0" fontId="2" fillId="0" borderId="0" xfId="0" applyFont="1" applyAlignment="1">
      <alignment horizontal="center" vertical="center"/>
    </xf>
    <xf numFmtId="167" fontId="0" fillId="0" borderId="0" xfId="0" applyNumberFormat="1" applyAlignment="1">
      <alignment horizontal="center" vertical="center"/>
    </xf>
    <xf numFmtId="168" fontId="0" fillId="0" borderId="0" xfId="0" applyNumberFormat="1" applyAlignment="1">
      <alignment horizontal="center" vertical="center"/>
    </xf>
    <xf numFmtId="0" fontId="1" fillId="0" borderId="0" xfId="0" applyFont="1" applyAlignment="1">
      <alignment horizontal="center" vertical="center"/>
    </xf>
    <xf numFmtId="167" fontId="1" fillId="0" borderId="0" xfId="0" applyNumberFormat="1" applyFont="1" applyAlignment="1">
      <alignment horizontal="center" vertical="center"/>
    </xf>
    <xf numFmtId="168" fontId="1" fillId="0" borderId="0" xfId="0" applyNumberFormat="1" applyFont="1" applyAlignment="1">
      <alignment horizontal="center" vertical="center"/>
    </xf>
    <xf numFmtId="0" fontId="11" fillId="0" borderId="0" xfId="0" applyFont="1" applyAlignment="1">
      <alignment horizontal="center"/>
    </xf>
    <xf numFmtId="167" fontId="19" fillId="0" borderId="12" xfId="0" applyNumberFormat="1" applyFont="1" applyBorder="1" applyAlignment="1" applyProtection="1">
      <alignment horizontal="center" vertical="center"/>
      <protection locked="0"/>
    </xf>
    <xf numFmtId="168" fontId="19" fillId="0" borderId="12" xfId="0" applyNumberFormat="1"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167" fontId="19" fillId="0" borderId="5" xfId="0" applyNumberFormat="1" applyFont="1" applyBorder="1" applyAlignment="1" applyProtection="1">
      <alignment horizontal="center" vertical="center"/>
      <protection locked="0"/>
    </xf>
    <xf numFmtId="168" fontId="19" fillId="0" borderId="5" xfId="0" applyNumberFormat="1" applyFont="1" applyBorder="1" applyAlignment="1" applyProtection="1">
      <alignment horizontal="center" vertical="center"/>
      <protection locked="0"/>
    </xf>
    <xf numFmtId="0" fontId="19" fillId="0" borderId="5" xfId="0" applyFont="1" applyBorder="1" applyAlignment="1" applyProtection="1">
      <alignment vertical="center"/>
      <protection locked="0"/>
    </xf>
    <xf numFmtId="167" fontId="19" fillId="0" borderId="8" xfId="0" applyNumberFormat="1" applyFont="1" applyBorder="1" applyAlignment="1" applyProtection="1">
      <alignment horizontal="center" vertical="center"/>
      <protection locked="0"/>
    </xf>
    <xf numFmtId="168" fontId="19" fillId="0" borderId="8" xfId="0" applyNumberFormat="1" applyFont="1" applyBorder="1" applyAlignment="1" applyProtection="1">
      <alignment horizontal="center" vertical="center"/>
      <protection locked="0"/>
    </xf>
    <xf numFmtId="0" fontId="19" fillId="0" borderId="8" xfId="0" applyFont="1" applyBorder="1" applyAlignment="1" applyProtection="1">
      <alignment vertical="center"/>
      <protection locked="0"/>
    </xf>
    <xf numFmtId="0" fontId="17" fillId="0" borderId="17" xfId="0" applyFont="1" applyBorder="1" applyAlignment="1" applyProtection="1">
      <alignment horizontal="center" vertical="center"/>
      <protection locked="0"/>
    </xf>
    <xf numFmtId="165" fontId="17" fillId="0" borderId="17" xfId="0" applyNumberFormat="1" applyFont="1" applyBorder="1" applyAlignment="1" applyProtection="1">
      <alignment horizontal="center" vertical="center"/>
      <protection locked="0"/>
    </xf>
    <xf numFmtId="0" fontId="37" fillId="0" borderId="17" xfId="0" applyFont="1" applyBorder="1" applyAlignment="1" applyProtection="1">
      <alignment horizontal="center" vertical="center"/>
      <protection locked="0"/>
    </xf>
    <xf numFmtId="0" fontId="19" fillId="0" borderId="17" xfId="0" applyFont="1" applyBorder="1" applyAlignment="1" applyProtection="1">
      <alignment vertical="center"/>
      <protection locked="0"/>
    </xf>
    <xf numFmtId="0" fontId="22" fillId="10" borderId="12" xfId="0" applyFont="1" applyFill="1" applyBorder="1" applyAlignment="1" applyProtection="1">
      <alignment horizontal="center" vertical="center"/>
      <protection locked="0"/>
    </xf>
    <xf numFmtId="0" fontId="22" fillId="10" borderId="12" xfId="0" applyFont="1" applyFill="1" applyBorder="1" applyAlignment="1" applyProtection="1">
      <alignment horizontal="center" vertical="center" wrapText="1"/>
      <protection locked="0"/>
    </xf>
    <xf numFmtId="0" fontId="6"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xf>
    <xf numFmtId="0" fontId="2" fillId="0" borderId="0" xfId="0" applyFont="1" applyAlignment="1">
      <alignment vertical="center"/>
    </xf>
    <xf numFmtId="0" fontId="7" fillId="4" borderId="2" xfId="0" applyFont="1" applyFill="1" applyBorder="1" applyAlignment="1" applyProtection="1">
      <alignment vertical="center"/>
      <protection locked="0"/>
    </xf>
    <xf numFmtId="0" fontId="44" fillId="3" borderId="11" xfId="0" applyFont="1" applyFill="1" applyBorder="1" applyAlignment="1" applyProtection="1">
      <alignment horizontal="center" vertical="center" wrapText="1"/>
      <protection locked="0"/>
    </xf>
    <xf numFmtId="0" fontId="22" fillId="0" borderId="43" xfId="0" applyFont="1" applyBorder="1" applyAlignment="1" applyProtection="1">
      <alignment horizontal="center" vertical="center"/>
      <protection locked="0"/>
    </xf>
    <xf numFmtId="0" fontId="47" fillId="0" borderId="0" xfId="0" applyFont="1"/>
    <xf numFmtId="0" fontId="48" fillId="14" borderId="47" xfId="0" applyFont="1" applyFill="1" applyBorder="1" applyAlignment="1">
      <alignment vertical="top" wrapText="1" readingOrder="1"/>
    </xf>
    <xf numFmtId="0" fontId="49" fillId="0" borderId="48" xfId="0" applyFont="1" applyBorder="1" applyAlignment="1">
      <alignment vertical="top" wrapText="1" readingOrder="1"/>
    </xf>
    <xf numFmtId="0" fontId="0" fillId="0" borderId="48" xfId="0" applyBorder="1"/>
    <xf numFmtId="0" fontId="18" fillId="10" borderId="5" xfId="0" applyFont="1" applyFill="1" applyBorder="1" applyAlignment="1" applyProtection="1">
      <alignment horizontal="center" vertical="center" wrapText="1"/>
      <protection locked="0"/>
    </xf>
    <xf numFmtId="0" fontId="0" fillId="0" borderId="0" xfId="0" applyProtection="1">
      <protection locked="0"/>
    </xf>
    <xf numFmtId="0" fontId="19" fillId="0" borderId="0" xfId="0" applyFont="1" applyProtection="1">
      <protection locked="0"/>
    </xf>
    <xf numFmtId="49" fontId="19" fillId="0" borderId="12" xfId="0" applyNumberFormat="1"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19" fillId="0" borderId="12" xfId="0" applyFont="1" applyBorder="1" applyAlignment="1" applyProtection="1">
      <alignment horizontal="center" vertical="center" wrapText="1"/>
      <protection locked="0"/>
    </xf>
    <xf numFmtId="0" fontId="19" fillId="13" borderId="12" xfId="0" applyFont="1" applyFill="1" applyBorder="1" applyAlignment="1" applyProtection="1">
      <alignment horizontal="center" vertical="center" wrapText="1"/>
      <protection locked="0"/>
    </xf>
    <xf numFmtId="0" fontId="24" fillId="0" borderId="12" xfId="0" applyFont="1" applyBorder="1" applyAlignment="1" applyProtection="1">
      <alignment horizontal="left" vertical="top" wrapText="1"/>
      <protection locked="0"/>
    </xf>
    <xf numFmtId="0" fontId="19" fillId="0" borderId="12" xfId="0" applyFont="1" applyBorder="1" applyAlignment="1" applyProtection="1">
      <alignment vertical="top" wrapText="1"/>
      <protection locked="0"/>
    </xf>
    <xf numFmtId="0" fontId="22" fillId="0" borderId="12" xfId="0" applyFont="1" applyBorder="1" applyAlignment="1">
      <alignment horizontal="center" vertical="center" wrapText="1"/>
    </xf>
    <xf numFmtId="0" fontId="18" fillId="0" borderId="0" xfId="0" applyFont="1" applyAlignment="1">
      <alignment horizontal="center" vertical="center" wrapText="1"/>
    </xf>
    <xf numFmtId="0" fontId="19" fillId="0" borderId="12"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37" fillId="0" borderId="12" xfId="0" applyFont="1" applyBorder="1" applyAlignment="1">
      <alignment horizontal="center" vertical="center"/>
    </xf>
    <xf numFmtId="0" fontId="19" fillId="0" borderId="5" xfId="0" applyFont="1" applyBorder="1" applyAlignment="1" applyProtection="1">
      <alignment horizontal="center" vertical="center"/>
      <protection locked="0"/>
    </xf>
    <xf numFmtId="0" fontId="37" fillId="0" borderId="8" xfId="0" applyFont="1" applyBorder="1" applyAlignment="1">
      <alignment horizontal="center" vertical="center"/>
    </xf>
    <xf numFmtId="0" fontId="0" fillId="0" borderId="0" xfId="0" applyAlignment="1">
      <alignment horizontal="center" vertical="center"/>
    </xf>
    <xf numFmtId="0" fontId="37" fillId="0" borderId="5" xfId="0" applyFont="1" applyBorder="1" applyAlignment="1">
      <alignment horizontal="center" vertical="center"/>
    </xf>
    <xf numFmtId="0" fontId="19" fillId="0" borderId="5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37" fillId="0" borderId="12" xfId="0" applyFont="1" applyBorder="1" applyAlignment="1">
      <alignment horizontal="center" vertical="center"/>
    </xf>
    <xf numFmtId="0" fontId="37" fillId="0" borderId="5" xfId="0" applyFont="1" applyBorder="1" applyAlignment="1">
      <alignment horizontal="center" vertical="center"/>
    </xf>
    <xf numFmtId="0" fontId="19" fillId="0" borderId="49"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8" fillId="10" borderId="5" xfId="0" applyFont="1" applyFill="1" applyBorder="1" applyAlignment="1" applyProtection="1">
      <alignment horizontal="center" vertical="center" wrapText="1"/>
      <protection locked="0"/>
    </xf>
    <xf numFmtId="0" fontId="18" fillId="10" borderId="33" xfId="0" applyFont="1" applyFill="1" applyBorder="1" applyAlignment="1" applyProtection="1">
      <alignment horizontal="center" vertical="center" wrapText="1"/>
      <protection locked="0"/>
    </xf>
    <xf numFmtId="0" fontId="19" fillId="0" borderId="8" xfId="0" applyFont="1" applyBorder="1" applyAlignment="1" applyProtection="1">
      <alignment horizontal="center" vertical="center"/>
      <protection locked="0"/>
    </xf>
    <xf numFmtId="0" fontId="29" fillId="10" borderId="33" xfId="3" applyFont="1" applyFill="1" applyBorder="1" applyAlignment="1" applyProtection="1">
      <alignment horizontal="center" vertical="center" wrapText="1"/>
      <protection locked="0"/>
    </xf>
    <xf numFmtId="0" fontId="1" fillId="0" borderId="0" xfId="0" applyFont="1" applyAlignment="1">
      <alignment horizontal="center" vertical="center"/>
    </xf>
    <xf numFmtId="0" fontId="0" fillId="0" borderId="0" xfId="0" applyAlignment="1">
      <alignment horizontal="center" vertical="center"/>
    </xf>
    <xf numFmtId="0" fontId="19" fillId="0" borderId="0" xfId="0" applyFont="1" applyAlignment="1">
      <alignment horizontal="center" vertical="center"/>
    </xf>
    <xf numFmtId="0" fontId="19" fillId="0" borderId="13" xfId="0" applyFont="1" applyBorder="1" applyAlignment="1" applyProtection="1">
      <alignment horizontal="center" vertical="center"/>
      <protection locked="0"/>
    </xf>
    <xf numFmtId="0" fontId="38" fillId="0" borderId="20"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21" xfId="0" applyFont="1" applyBorder="1" applyAlignment="1" applyProtection="1">
      <alignment horizontal="center" vertical="center" wrapText="1"/>
      <protection locked="0"/>
    </xf>
    <xf numFmtId="0" fontId="25" fillId="0" borderId="20" xfId="3" applyFont="1" applyFill="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8" fillId="3" borderId="5" xfId="0" applyFont="1" applyFill="1" applyBorder="1" applyAlignment="1" applyProtection="1">
      <alignment horizontal="center" vertical="center" wrapText="1"/>
      <protection locked="0"/>
    </xf>
    <xf numFmtId="0" fontId="18" fillId="3" borderId="33" xfId="0" applyFont="1" applyFill="1" applyBorder="1" applyAlignment="1" applyProtection="1">
      <alignment horizontal="center" vertical="center" wrapText="1"/>
      <protection locked="0"/>
    </xf>
    <xf numFmtId="0" fontId="31" fillId="10" borderId="35" xfId="0" applyFont="1" applyFill="1" applyBorder="1" applyAlignment="1" applyProtection="1">
      <alignment horizontal="center" vertical="center" wrapText="1"/>
      <protection locked="0"/>
    </xf>
    <xf numFmtId="0" fontId="31" fillId="10" borderId="38" xfId="0" applyFont="1" applyFill="1" applyBorder="1" applyAlignment="1" applyProtection="1">
      <alignment horizontal="center" vertical="center" wrapText="1"/>
      <protection locked="0"/>
    </xf>
    <xf numFmtId="0" fontId="31" fillId="10" borderId="36" xfId="0" applyFont="1" applyFill="1" applyBorder="1" applyAlignment="1" applyProtection="1">
      <alignment horizontal="center" vertical="center" wrapText="1"/>
      <protection locked="0"/>
    </xf>
    <xf numFmtId="0" fontId="22" fillId="10" borderId="12" xfId="0" applyFont="1" applyFill="1" applyBorder="1" applyAlignment="1" applyProtection="1">
      <alignment horizontal="center" vertical="center" wrapText="1"/>
      <protection locked="0"/>
    </xf>
    <xf numFmtId="0" fontId="22" fillId="10" borderId="12"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protection locked="0"/>
    </xf>
    <xf numFmtId="0" fontId="18" fillId="2" borderId="19" xfId="0" applyFont="1" applyFill="1" applyBorder="1" applyAlignment="1" applyProtection="1">
      <alignment horizontal="center" vertical="center"/>
      <protection locked="0"/>
    </xf>
    <xf numFmtId="0" fontId="18" fillId="3" borderId="4" xfId="0" applyFont="1" applyFill="1" applyBorder="1" applyAlignment="1" applyProtection="1">
      <alignment horizontal="center" vertical="center" wrapText="1"/>
      <protection locked="0"/>
    </xf>
    <xf numFmtId="0" fontId="18" fillId="3" borderId="34" xfId="0" applyFont="1" applyFill="1" applyBorder="1" applyAlignment="1" applyProtection="1">
      <alignment horizontal="center" vertical="center" wrapText="1"/>
      <protection locked="0"/>
    </xf>
    <xf numFmtId="0" fontId="25" fillId="0" borderId="22" xfId="3" applyFont="1" applyFill="1" applyBorder="1" applyAlignment="1" applyProtection="1">
      <alignment horizontal="center" vertical="center" wrapText="1"/>
      <protection locked="0"/>
    </xf>
    <xf numFmtId="0" fontId="25" fillId="0" borderId="25" xfId="3" applyFont="1" applyFill="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19"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46" fillId="0" borderId="20" xfId="0" applyFont="1" applyBorder="1" applyAlignment="1" applyProtection="1">
      <alignment horizontal="center" vertical="center" wrapText="1"/>
      <protection locked="0"/>
    </xf>
    <xf numFmtId="0" fontId="46" fillId="0" borderId="21" xfId="0" applyFont="1" applyBorder="1" applyAlignment="1" applyProtection="1">
      <alignment horizontal="center" vertical="center" wrapText="1"/>
      <protection locked="0"/>
    </xf>
    <xf numFmtId="0" fontId="46" fillId="0" borderId="18" xfId="0" applyFont="1" applyBorder="1" applyAlignment="1" applyProtection="1">
      <alignment horizontal="center" vertical="center" wrapText="1"/>
      <protection locked="0"/>
    </xf>
    <xf numFmtId="0" fontId="46" fillId="0" borderId="24"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8" fillId="10" borderId="10" xfId="0" applyFont="1" applyFill="1" applyBorder="1" applyAlignment="1" applyProtection="1">
      <alignment horizontal="center" vertical="center" wrapText="1"/>
      <protection locked="0"/>
    </xf>
    <xf numFmtId="0" fontId="18" fillId="10" borderId="14" xfId="0" applyFont="1" applyFill="1" applyBorder="1" applyAlignment="1" applyProtection="1">
      <alignment horizontal="center" vertical="center" wrapText="1"/>
      <protection locked="0"/>
    </xf>
    <xf numFmtId="164" fontId="17" fillId="0" borderId="12" xfId="0" applyNumberFormat="1" applyFont="1" applyBorder="1" applyAlignment="1" applyProtection="1">
      <alignment horizontal="center" vertical="center"/>
      <protection locked="0"/>
    </xf>
    <xf numFmtId="0" fontId="22" fillId="10" borderId="28" xfId="0" applyFont="1" applyFill="1" applyBorder="1" applyAlignment="1" applyProtection="1">
      <alignment horizontal="center" vertical="center" wrapText="1"/>
      <protection locked="0"/>
    </xf>
    <xf numFmtId="0" fontId="17" fillId="0" borderId="23"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166" fontId="17" fillId="0" borderId="25" xfId="0" applyNumberFormat="1" applyFont="1" applyBorder="1" applyAlignment="1" applyProtection="1">
      <alignment horizontal="center" vertical="center"/>
      <protection locked="0"/>
    </xf>
    <xf numFmtId="0" fontId="22" fillId="10" borderId="32" xfId="0" applyFont="1" applyFill="1" applyBorder="1" applyAlignment="1" applyProtection="1">
      <alignment horizontal="center" vertical="center" wrapText="1"/>
      <protection locked="0"/>
    </xf>
    <xf numFmtId="49" fontId="17" fillId="0" borderId="25" xfId="0" applyNumberFormat="1" applyFont="1" applyBorder="1" applyAlignment="1" applyProtection="1">
      <alignment horizontal="center" vertical="center"/>
      <protection locked="0"/>
    </xf>
    <xf numFmtId="49" fontId="17" fillId="0" borderId="26" xfId="0" applyNumberFormat="1"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4" xfId="0" applyFont="1" applyBorder="1" applyAlignment="1" applyProtection="1">
      <alignment horizontal="center" vertical="center"/>
      <protection locked="0"/>
    </xf>
    <xf numFmtId="0" fontId="42" fillId="12" borderId="35" xfId="0" applyFont="1" applyFill="1" applyBorder="1" applyAlignment="1" applyProtection="1">
      <alignment horizontal="center" vertical="center" wrapText="1"/>
      <protection locked="0"/>
    </xf>
    <xf numFmtId="0" fontId="42" fillId="12" borderId="36" xfId="0" applyFont="1" applyFill="1" applyBorder="1" applyAlignment="1" applyProtection="1">
      <alignment horizontal="center" vertical="center" wrapText="1"/>
      <protection locked="0"/>
    </xf>
    <xf numFmtId="0" fontId="20" fillId="2" borderId="30" xfId="0" applyFont="1" applyFill="1" applyBorder="1" applyAlignment="1" applyProtection="1">
      <alignment vertical="center"/>
      <protection locked="0"/>
    </xf>
    <xf numFmtId="0" fontId="21" fillId="2" borderId="0" xfId="0" applyFont="1" applyFill="1" applyAlignment="1" applyProtection="1">
      <alignment vertical="center"/>
      <protection locked="0"/>
    </xf>
    <xf numFmtId="0" fontId="21" fillId="2" borderId="29" xfId="0" applyFont="1" applyFill="1" applyBorder="1" applyAlignment="1" applyProtection="1">
      <alignment vertical="center"/>
      <protection locked="0"/>
    </xf>
    <xf numFmtId="0" fontId="18" fillId="10" borderId="12" xfId="0" applyFont="1" applyFill="1" applyBorder="1" applyAlignment="1" applyProtection="1">
      <alignment horizontal="center" vertical="center" wrapText="1"/>
      <protection locked="0"/>
    </xf>
    <xf numFmtId="0" fontId="17" fillId="10" borderId="12" xfId="0" applyFont="1" applyFill="1" applyBorder="1" applyAlignment="1" applyProtection="1">
      <alignment horizontal="center" vertical="center"/>
      <protection locked="0"/>
    </xf>
    <xf numFmtId="0" fontId="19" fillId="10" borderId="12" xfId="0" applyFont="1" applyFill="1" applyBorder="1" applyAlignment="1" applyProtection="1">
      <alignment horizontal="center" vertical="center" wrapText="1"/>
      <protection locked="0"/>
    </xf>
    <xf numFmtId="0" fontId="19" fillId="10" borderId="12" xfId="0"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wrapText="1"/>
      <protection locked="0"/>
    </xf>
    <xf numFmtId="164" fontId="17" fillId="0" borderId="17" xfId="0" applyNumberFormat="1"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37" fillId="0" borderId="8" xfId="0" applyFont="1" applyBorder="1" applyAlignment="1">
      <alignment horizontal="center" vertical="center"/>
    </xf>
    <xf numFmtId="0" fontId="51" fillId="10" borderId="35" xfId="3" applyFont="1" applyFill="1" applyBorder="1" applyAlignment="1" applyProtection="1">
      <alignment horizontal="center" vertical="center" wrapText="1"/>
      <protection locked="0"/>
    </xf>
    <xf numFmtId="0" fontId="51" fillId="10" borderId="36" xfId="3" applyFont="1" applyFill="1" applyBorder="1" applyAlignment="1" applyProtection="1">
      <alignment horizontal="center" vertical="center" wrapText="1"/>
      <protection locked="0"/>
    </xf>
    <xf numFmtId="0" fontId="19" fillId="0" borderId="17"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2" fillId="4" borderId="40" xfId="0" applyFont="1" applyFill="1" applyBorder="1" applyAlignment="1" applyProtection="1">
      <alignment horizontal="center" vertical="center" wrapText="1"/>
      <protection locked="0"/>
    </xf>
    <xf numFmtId="0" fontId="28" fillId="4" borderId="41" xfId="0" applyFont="1" applyFill="1" applyBorder="1" applyAlignment="1" applyProtection="1">
      <alignment horizontal="center" vertical="center"/>
      <protection locked="0"/>
    </xf>
    <xf numFmtId="0" fontId="24" fillId="4" borderId="41" xfId="0" applyFont="1" applyFill="1" applyBorder="1" applyAlignment="1" applyProtection="1">
      <alignment horizontal="center" vertical="center"/>
      <protection locked="0"/>
    </xf>
    <xf numFmtId="0" fontId="24" fillId="4" borderId="42"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wrapText="1"/>
      <protection locked="0"/>
    </xf>
    <xf numFmtId="0" fontId="18" fillId="3" borderId="6" xfId="0" applyFont="1" applyFill="1" applyBorder="1" applyAlignment="1" applyProtection="1">
      <alignment horizontal="center" vertical="center" wrapText="1"/>
      <protection locked="0"/>
    </xf>
    <xf numFmtId="0" fontId="18" fillId="3" borderId="37" xfId="0" applyFont="1" applyFill="1" applyBorder="1" applyAlignment="1" applyProtection="1">
      <alignment horizontal="center" vertical="center" wrapText="1"/>
      <protection locked="0"/>
    </xf>
    <xf numFmtId="0" fontId="19" fillId="0" borderId="6" xfId="0" applyFont="1" applyBorder="1" applyAlignment="1" applyProtection="1">
      <alignment horizontal="center" vertical="center"/>
      <protection locked="0"/>
    </xf>
    <xf numFmtId="0" fontId="39" fillId="12" borderId="30" xfId="0" applyFont="1" applyFill="1" applyBorder="1" applyAlignment="1" applyProtection="1">
      <alignment horizontal="center" vertical="center"/>
      <protection locked="0"/>
    </xf>
    <xf numFmtId="0" fontId="39" fillId="12" borderId="0" xfId="0" applyFont="1" applyFill="1" applyAlignment="1" applyProtection="1">
      <alignment horizontal="center" vertical="center"/>
      <protection locked="0"/>
    </xf>
    <xf numFmtId="0" fontId="22" fillId="10" borderId="45" xfId="0" applyFont="1" applyFill="1" applyBorder="1" applyAlignment="1" applyProtection="1">
      <alignment horizontal="center" vertical="center" wrapText="1"/>
      <protection locked="0"/>
    </xf>
    <xf numFmtId="0" fontId="22" fillId="10" borderId="41" xfId="0" applyFont="1" applyFill="1" applyBorder="1" applyAlignment="1" applyProtection="1">
      <alignment horizontal="center" vertical="center" wrapText="1"/>
      <protection locked="0"/>
    </xf>
    <xf numFmtId="0" fontId="22" fillId="10" borderId="46" xfId="0" applyFont="1" applyFill="1" applyBorder="1" applyAlignment="1" applyProtection="1">
      <alignment horizontal="center" vertical="center" wrapText="1"/>
      <protection locked="0"/>
    </xf>
    <xf numFmtId="0" fontId="17" fillId="0" borderId="45" xfId="0" applyFont="1" applyBorder="1" applyAlignment="1" applyProtection="1">
      <alignment horizontal="center" vertical="center"/>
      <protection locked="0"/>
    </xf>
    <xf numFmtId="0" fontId="17" fillId="0" borderId="41"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8" fillId="3" borderId="22" xfId="0" applyFont="1" applyFill="1" applyBorder="1" applyAlignment="1" applyProtection="1">
      <alignment horizontal="center" vertical="center" wrapText="1"/>
      <protection locked="0"/>
    </xf>
    <xf numFmtId="0" fontId="18" fillId="3" borderId="39" xfId="0" applyFont="1" applyFill="1" applyBorder="1" applyAlignment="1" applyProtection="1">
      <alignment horizontal="center" vertical="center" wrapText="1"/>
      <protection locked="0"/>
    </xf>
    <xf numFmtId="0" fontId="20" fillId="2" borderId="27" xfId="0" applyFont="1" applyFill="1" applyBorder="1" applyAlignment="1" applyProtection="1">
      <alignment vertical="center"/>
      <protection locked="0"/>
    </xf>
    <xf numFmtId="0" fontId="21" fillId="2" borderId="2" xfId="0" applyFont="1" applyFill="1" applyBorder="1" applyAlignment="1" applyProtection="1">
      <alignment vertical="center"/>
      <protection locked="0"/>
    </xf>
    <xf numFmtId="0" fontId="21" fillId="2" borderId="3" xfId="0" applyFont="1" applyFill="1" applyBorder="1" applyAlignment="1" applyProtection="1">
      <alignment vertical="center"/>
      <protection locked="0"/>
    </xf>
    <xf numFmtId="0" fontId="22" fillId="10" borderId="31" xfId="0" applyFont="1" applyFill="1" applyBorder="1" applyAlignment="1" applyProtection="1">
      <alignment horizontal="center" vertical="center" wrapText="1"/>
      <protection locked="0"/>
    </xf>
    <xf numFmtId="0" fontId="19" fillId="0" borderId="17" xfId="0" applyFont="1" applyBorder="1" applyAlignment="1" applyProtection="1">
      <alignment horizontal="left" vertical="center"/>
      <protection locked="0"/>
    </xf>
    <xf numFmtId="0" fontId="19" fillId="0" borderId="44"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0" fontId="19" fillId="0" borderId="9" xfId="0" applyFont="1" applyBorder="1" applyAlignment="1" applyProtection="1">
      <alignment horizontal="center" vertical="center"/>
      <protection locked="0"/>
    </xf>
    <xf numFmtId="0" fontId="22" fillId="13" borderId="0" xfId="0" applyFont="1" applyFill="1" applyAlignment="1" applyProtection="1">
      <alignment horizontal="center" vertical="center" wrapText="1"/>
      <protection locked="0"/>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22" fillId="0" borderId="51" xfId="0" applyFont="1" applyBorder="1" applyAlignment="1">
      <alignment horizontal="center" vertical="center"/>
    </xf>
  </cellXfs>
  <cellStyles count="4">
    <cellStyle name="Bad" xfId="2" builtinId="27"/>
    <cellStyle name="Good" xfId="1" builtinId="26"/>
    <cellStyle name="Hyperlink" xfId="3" builtinId="8"/>
    <cellStyle name="Normal" xfId="0" builtinId="0"/>
  </cellStyles>
  <dxfs count="19">
    <dxf>
      <font>
        <strike val="0"/>
        <outline val="0"/>
        <shadow val="0"/>
        <u val="none"/>
        <vertAlign val="baseline"/>
        <sz val="13"/>
        <name val="Calibri"/>
        <scheme val="minor"/>
      </font>
      <numFmt numFmtId="0" formatCode="General"/>
      <fill>
        <patternFill patternType="solid">
          <fgColor indexed="64"/>
          <bgColor theme="0" tint="-0.249977111117893"/>
        </patternFill>
      </fill>
      <alignment horizontal="general" vertical="bottom" textRotation="0" wrapText="1" indent="0" justifyLastLine="0" shrinkToFit="0" readingOrder="0"/>
      <protection locked="1" hidden="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left" vertical="bottom" textRotation="0" wrapText="1" indent="0" justifyLastLine="0" shrinkToFit="0" readingOrder="0"/>
    </dxf>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general" vertical="bottom" textRotation="0" wrapText="1" indent="0" justifyLastLine="0" shrinkToFit="0" readingOrder="0"/>
    </dxf>
    <dxf>
      <alignment horizontal="center" vertical="top" textRotation="0" wrapText="1" indent="0" justifyLastLine="0" shrinkToFit="0" readingOrder="0"/>
    </dxf>
    <dxf>
      <font>
        <color rgb="FF9C0006"/>
      </font>
      <fill>
        <patternFill>
          <bgColor rgb="FFFFC7CE"/>
        </patternFill>
      </fill>
    </dxf>
  </dxfs>
  <tableStyles count="0" defaultTableStyle="TableStyleMedium2" defaultPivotStyle="PivotStyleLight16"/>
  <colors>
    <mruColors>
      <color rgb="FFFF7453"/>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219075</xdr:colOff>
          <xdr:row>8</xdr:row>
          <xdr:rowOff>19050</xdr:rowOff>
        </xdr:from>
        <xdr:to>
          <xdr:col>39</xdr:col>
          <xdr:colOff>438150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8</xdr:row>
          <xdr:rowOff>419100</xdr:rowOff>
        </xdr:from>
        <xdr:to>
          <xdr:col>39</xdr:col>
          <xdr:colOff>438150</xdr:colOff>
          <xdr:row>10</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9</xdr:row>
          <xdr:rowOff>419100</xdr:rowOff>
        </xdr:from>
        <xdr:to>
          <xdr:col>39</xdr:col>
          <xdr:colOff>438150</xdr:colOff>
          <xdr:row>11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10</xdr:row>
          <xdr:rowOff>419100</xdr:rowOff>
        </xdr:from>
        <xdr:to>
          <xdr:col>39</xdr:col>
          <xdr:colOff>438150</xdr:colOff>
          <xdr:row>12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419100</xdr:rowOff>
        </xdr:from>
        <xdr:to>
          <xdr:col>39</xdr:col>
          <xdr:colOff>438150</xdr:colOff>
          <xdr:row>13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419100</xdr:rowOff>
        </xdr:from>
        <xdr:to>
          <xdr:col>39</xdr:col>
          <xdr:colOff>438150</xdr:colOff>
          <xdr:row>13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8</xdr:row>
          <xdr:rowOff>419100</xdr:rowOff>
        </xdr:from>
        <xdr:to>
          <xdr:col>44</xdr:col>
          <xdr:colOff>438150</xdr:colOff>
          <xdr:row>10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8</xdr:row>
          <xdr:rowOff>419100</xdr:rowOff>
        </xdr:from>
        <xdr:to>
          <xdr:col>44</xdr:col>
          <xdr:colOff>438150</xdr:colOff>
          <xdr:row>10</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8</xdr:row>
          <xdr:rowOff>419100</xdr:rowOff>
        </xdr:from>
        <xdr:to>
          <xdr:col>44</xdr:col>
          <xdr:colOff>438150</xdr:colOff>
          <xdr:row>9</xdr:row>
          <xdr:rowOff>200025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8</xdr:row>
          <xdr:rowOff>19050</xdr:rowOff>
        </xdr:from>
        <xdr:to>
          <xdr:col>44</xdr:col>
          <xdr:colOff>438150</xdr:colOff>
          <xdr:row>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8</xdr:row>
          <xdr:rowOff>419100</xdr:rowOff>
        </xdr:from>
        <xdr:to>
          <xdr:col>44</xdr:col>
          <xdr:colOff>438150</xdr:colOff>
          <xdr:row>10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9</xdr:row>
          <xdr:rowOff>419100</xdr:rowOff>
        </xdr:from>
        <xdr:to>
          <xdr:col>44</xdr:col>
          <xdr:colOff>438150</xdr:colOff>
          <xdr:row>11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10</xdr:row>
          <xdr:rowOff>419100</xdr:rowOff>
        </xdr:from>
        <xdr:to>
          <xdr:col>44</xdr:col>
          <xdr:colOff>438150</xdr:colOff>
          <xdr:row>12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11</xdr:row>
          <xdr:rowOff>419100</xdr:rowOff>
        </xdr:from>
        <xdr:to>
          <xdr:col>44</xdr:col>
          <xdr:colOff>438150</xdr:colOff>
          <xdr:row>13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11</xdr:row>
          <xdr:rowOff>419100</xdr:rowOff>
        </xdr:from>
        <xdr:to>
          <xdr:col>44</xdr:col>
          <xdr:colOff>438150</xdr:colOff>
          <xdr:row>13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419100</xdr:rowOff>
        </xdr:from>
        <xdr:to>
          <xdr:col>39</xdr:col>
          <xdr:colOff>438150</xdr:colOff>
          <xdr:row>13</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10</xdr:row>
          <xdr:rowOff>419100</xdr:rowOff>
        </xdr:from>
        <xdr:to>
          <xdr:col>39</xdr:col>
          <xdr:colOff>438150</xdr:colOff>
          <xdr:row>12</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419100</xdr:rowOff>
        </xdr:from>
        <xdr:to>
          <xdr:col>39</xdr:col>
          <xdr:colOff>438150</xdr:colOff>
          <xdr:row>13</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419100</xdr:rowOff>
        </xdr:from>
        <xdr:to>
          <xdr:col>39</xdr:col>
          <xdr:colOff>438150</xdr:colOff>
          <xdr:row>13</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219075</xdr:colOff>
          <xdr:row>11</xdr:row>
          <xdr:rowOff>419100</xdr:rowOff>
        </xdr:from>
        <xdr:to>
          <xdr:col>39</xdr:col>
          <xdr:colOff>438150</xdr:colOff>
          <xdr:row>13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11</xdr:row>
          <xdr:rowOff>419100</xdr:rowOff>
        </xdr:from>
        <xdr:to>
          <xdr:col>44</xdr:col>
          <xdr:colOff>447675</xdr:colOff>
          <xdr:row>13</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10</xdr:row>
          <xdr:rowOff>419100</xdr:rowOff>
        </xdr:from>
        <xdr:to>
          <xdr:col>44</xdr:col>
          <xdr:colOff>447675</xdr:colOff>
          <xdr:row>12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11</xdr:row>
          <xdr:rowOff>419100</xdr:rowOff>
        </xdr:from>
        <xdr:to>
          <xdr:col>44</xdr:col>
          <xdr:colOff>447675</xdr:colOff>
          <xdr:row>13</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9</xdr:row>
          <xdr:rowOff>419100</xdr:rowOff>
        </xdr:from>
        <xdr:to>
          <xdr:col>44</xdr:col>
          <xdr:colOff>447675</xdr:colOff>
          <xdr:row>11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9</xdr:row>
          <xdr:rowOff>419100</xdr:rowOff>
        </xdr:from>
        <xdr:to>
          <xdr:col>44</xdr:col>
          <xdr:colOff>447675</xdr:colOff>
          <xdr:row>11</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9</xdr:row>
          <xdr:rowOff>419100</xdr:rowOff>
        </xdr:from>
        <xdr:to>
          <xdr:col>44</xdr:col>
          <xdr:colOff>447675</xdr:colOff>
          <xdr:row>10</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9</xdr:row>
          <xdr:rowOff>419100</xdr:rowOff>
        </xdr:from>
        <xdr:to>
          <xdr:col>44</xdr:col>
          <xdr:colOff>447675</xdr:colOff>
          <xdr:row>11</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219075</xdr:colOff>
          <xdr:row>10</xdr:row>
          <xdr:rowOff>419100</xdr:rowOff>
        </xdr:from>
        <xdr:to>
          <xdr:col>44</xdr:col>
          <xdr:colOff>447675</xdr:colOff>
          <xdr:row>12</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P918" totalsRowShown="0" headerRowDxfId="17" dataDxfId="16">
  <autoFilter ref="A1:P918" xr:uid="{00000000-0009-0000-0100-000001000000}"/>
  <sortState xmlns:xlrd2="http://schemas.microsoft.com/office/spreadsheetml/2017/richdata2" ref="A2:P918">
    <sortCondition ref="D1:D918"/>
  </sortState>
  <tableColumns count="16">
    <tableColumn id="1" xr3:uid="{00000000-0010-0000-0000-000001000000}" name="Code" dataDxfId="15"/>
    <tableColumn id="15" xr3:uid="{DD30D26D-815A-4E7C-BE65-13367F4F8C78}" name="Column2" dataDxfId="14">
      <calculatedColumnFormula>Table1[[#This Row],[Code]]&amp;" "&amp;Table1[[#This Row],[Portico_Specialty]]</calculatedColumnFormula>
    </tableColumn>
    <tableColumn id="16" xr3:uid="{CB6564A5-96E3-4BAB-9D5A-20E5FB9F4C7C}" name="Column3" dataDxfId="13">
      <calculatedColumnFormula>CLEAN(Table1[[#This Row],[Code]])</calculatedColumnFormula>
    </tableColumn>
    <tableColumn id="2" xr3:uid="{00000000-0010-0000-0000-000002000000}" name="Portico_Specialty" dataDxfId="12"/>
    <tableColumn id="11" xr3:uid="{00000000-0010-0000-0000-00000B000000}" name="Taxonomy_Notes" dataDxfId="11"/>
    <tableColumn id="3" xr3:uid="{00000000-0010-0000-0000-000003000000}" name="On_BH_Taxonomy_List" dataDxfId="10"/>
    <tableColumn id="13" xr3:uid="{00000000-0010-0000-0000-00000D000000}" name="Medicare_Eligible" dataDxfId="9"/>
    <tableColumn id="4" xr3:uid="{00000000-0010-0000-0000-000004000000}" name="CA_Medicaid_SP_Mapping" dataDxfId="8"/>
    <tableColumn id="12" xr3:uid="{00000000-0010-0000-0000-00000C000000}" name="IL_Medicaid_SP_Mapping" dataDxfId="7"/>
    <tableColumn id="5" xr3:uid="{00000000-0010-0000-0000-000005000000}" name="Kansas_SP_Mapping" dataDxfId="6"/>
    <tableColumn id="10" xr3:uid="{00000000-0010-0000-0000-00000A000000}" name="OH_Medicaid_SP_Mapping" dataDxfId="5"/>
    <tableColumn id="6" xr3:uid="{00000000-0010-0000-0000-000006000000}" name="WA_Medicaid_SP_Mapping" dataDxfId="4"/>
    <tableColumn id="7" xr3:uid="{00000000-0010-0000-0000-000007000000}" name="Ambetter_SP_Mapping" dataDxfId="3"/>
    <tableColumn id="8" xr3:uid="{00000000-0010-0000-0000-000008000000}" name="Medicare_SP_Mapping" dataDxfId="2"/>
    <tableColumn id="9" xr3:uid="{00000000-0010-0000-0000-000009000000}" name="Medicaid_SP_Mapping" dataDxfId="1"/>
    <tableColumn id="14" xr3:uid="{00000000-0010-0000-0000-00000E000000}" name="Column1"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pecos.cms.hhs.gov/pecos/login.do" TargetMode="External"/><Relationship Id="rId21" Type="http://schemas.openxmlformats.org/officeDocument/2006/relationships/ctrlProp" Target="../ctrlProps/ctrlProp15.xml"/><Relationship Id="rId34" Type="http://schemas.openxmlformats.org/officeDocument/2006/relationships/ctrlProp" Target="../ctrlProps/ctrlProp28.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2" Type="http://schemas.openxmlformats.org/officeDocument/2006/relationships/hyperlink" Target="http://portal.flmmis.com/FLPublic/Provider_ManagedCare/Provider_ManagedCare_Registration/tabId/77/Default.aspx?linkid=pml" TargetMode="External"/><Relationship Id="rId16" Type="http://schemas.openxmlformats.org/officeDocument/2006/relationships/ctrlProp" Target="../ctrlProps/ctrlProp10.xml"/><Relationship Id="rId20" Type="http://schemas.openxmlformats.org/officeDocument/2006/relationships/ctrlProp" Target="../ctrlProps/ctrlProp14.xml"/><Relationship Id="rId29" Type="http://schemas.openxmlformats.org/officeDocument/2006/relationships/ctrlProp" Target="../ctrlProps/ctrlProp23.xml"/><Relationship Id="rId1" Type="http://schemas.openxmlformats.org/officeDocument/2006/relationships/hyperlink" Target="http://portal.flmmis.com/FLPublic/Provider_ProviderServices/Provider_ProviderSupport/Provider_ProviderSupport_ClaimNPI/tabId/133/Default.aspx"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32" Type="http://schemas.openxmlformats.org/officeDocument/2006/relationships/ctrlProp" Target="../ctrlProps/ctrlProp26.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31" Type="http://schemas.openxmlformats.org/officeDocument/2006/relationships/ctrlProp" Target="../ctrlProps/ctrlProp25.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omments" Target="../comments1.xml"/><Relationship Id="rId8"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V121"/>
  <sheetViews>
    <sheetView showGridLines="0" tabSelected="1" zoomScaleNormal="100" workbookViewId="0">
      <selection activeCell="A6" sqref="A6:K6"/>
    </sheetView>
  </sheetViews>
  <sheetFormatPr defaultColWidth="9.28515625" defaultRowHeight="16.5" x14ac:dyDescent="0.25"/>
  <cols>
    <col min="1" max="1" width="9" style="54" customWidth="1"/>
    <col min="2" max="2" width="12" style="58" customWidth="1"/>
    <col min="3" max="3" width="17.85546875" style="58" customWidth="1"/>
    <col min="4" max="4" width="15.7109375" style="58" customWidth="1"/>
    <col min="5" max="6" width="15.85546875" style="58" customWidth="1"/>
    <col min="7" max="7" width="10.140625" style="59" bestFit="1" customWidth="1"/>
    <col min="8" max="8" width="15.7109375" style="60" bestFit="1" customWidth="1"/>
    <col min="9" max="9" width="6.28515625" style="58" customWidth="1"/>
    <col min="10" max="10" width="4.5703125" style="58" customWidth="1"/>
    <col min="11" max="11" width="6.85546875" style="58" customWidth="1"/>
    <col min="12" max="12" width="5.5703125" style="58" customWidth="1"/>
    <col min="13" max="13" width="9.28515625" style="58"/>
    <col min="14" max="14" width="13.7109375" style="58" bestFit="1" customWidth="1"/>
    <col min="15" max="16" width="20.28515625" style="58" customWidth="1"/>
    <col min="17" max="17" width="18.7109375" style="58" customWidth="1"/>
    <col min="18" max="19" width="25.7109375" style="58" bestFit="1" customWidth="1"/>
    <col min="20" max="23" width="9.28515625" style="58"/>
    <col min="24" max="24" width="12.28515625" style="58" customWidth="1"/>
    <col min="25" max="25" width="9.28515625" style="58" customWidth="1"/>
    <col min="26" max="26" width="7.85546875" style="58" customWidth="1"/>
    <col min="27" max="27" width="9.28515625" style="58"/>
    <col min="28" max="28" width="7.140625" style="58" customWidth="1"/>
    <col min="29" max="32" width="9.28515625" style="58"/>
    <col min="33" max="33" width="18" style="58" customWidth="1"/>
    <col min="34" max="34" width="21.5703125" style="58" customWidth="1"/>
    <col min="35" max="35" width="17" style="58" customWidth="1"/>
    <col min="36" max="36" width="11.42578125" style="58" customWidth="1"/>
    <col min="37" max="37" width="11.7109375" style="58" customWidth="1"/>
    <col min="38" max="38" width="11.42578125" style="58" customWidth="1"/>
    <col min="39" max="46" width="9.28515625" style="58"/>
    <col min="47" max="47" width="13.28515625" style="58" customWidth="1"/>
    <col min="48" max="16384" width="9.28515625" style="54"/>
  </cols>
  <sheetData>
    <row r="1" spans="1:48" s="77" customFormat="1" ht="26.25" x14ac:dyDescent="0.25">
      <c r="A1" s="193" t="s">
        <v>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37"/>
      <c r="AG1" s="37"/>
      <c r="AH1" s="37"/>
      <c r="AI1" s="37"/>
      <c r="AJ1" s="37"/>
      <c r="AK1" s="37"/>
      <c r="AL1" s="37"/>
      <c r="AM1" s="37"/>
      <c r="AN1" s="37"/>
      <c r="AO1" s="37"/>
      <c r="AP1" s="37"/>
      <c r="AQ1" s="37"/>
      <c r="AR1" s="37"/>
      <c r="AS1" s="37"/>
      <c r="AT1" s="37"/>
      <c r="AU1" s="37"/>
    </row>
    <row r="2" spans="1:48" s="77" customFormat="1" ht="20.25" customHeight="1" thickBot="1" x14ac:dyDescent="0.3">
      <c r="A2" s="203" t="s">
        <v>1</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38"/>
      <c r="AG2" s="38"/>
      <c r="AH2" s="38"/>
      <c r="AI2" s="38"/>
      <c r="AJ2" s="38"/>
      <c r="AK2" s="38"/>
      <c r="AL2" s="38"/>
      <c r="AM2" s="38"/>
      <c r="AN2" s="38"/>
      <c r="AO2" s="38"/>
      <c r="AP2" s="38"/>
      <c r="AQ2" s="38"/>
      <c r="AR2" s="38"/>
      <c r="AS2" s="38"/>
      <c r="AT2" s="38"/>
      <c r="AU2" s="38"/>
    </row>
    <row r="3" spans="1:48" s="77" customFormat="1" ht="21.75" customHeight="1" thickBot="1" x14ac:dyDescent="0.3">
      <c r="A3" s="195" t="s">
        <v>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82"/>
      <c r="AG3" s="82"/>
      <c r="AH3" s="82"/>
      <c r="AI3" s="82"/>
      <c r="AJ3" s="82"/>
      <c r="AK3" s="82"/>
      <c r="AL3" s="82"/>
      <c r="AM3" s="82"/>
      <c r="AN3" s="82"/>
      <c r="AO3" s="82"/>
      <c r="AP3" s="82"/>
      <c r="AQ3" s="82"/>
      <c r="AR3" s="197" t="s">
        <v>3</v>
      </c>
      <c r="AS3" s="197"/>
      <c r="AT3" s="197"/>
      <c r="AU3" s="198"/>
    </row>
    <row r="4" spans="1:48" s="78" customFormat="1" ht="20.100000000000001" customHeight="1" thickBot="1" x14ac:dyDescent="0.3">
      <c r="A4" s="213" t="s">
        <v>4</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5"/>
    </row>
    <row r="5" spans="1:48" s="79" customFormat="1" ht="43.5" customHeight="1" thickBot="1" x14ac:dyDescent="0.3">
      <c r="A5" s="216" t="s">
        <v>5</v>
      </c>
      <c r="B5" s="167"/>
      <c r="C5" s="167"/>
      <c r="D5" s="167"/>
      <c r="E5" s="167"/>
      <c r="F5" s="167"/>
      <c r="G5" s="167"/>
      <c r="H5" s="167"/>
      <c r="I5" s="167"/>
      <c r="J5" s="167"/>
      <c r="K5" s="167"/>
      <c r="L5" s="167" t="s">
        <v>6</v>
      </c>
      <c r="M5" s="167"/>
      <c r="N5" s="39" t="s">
        <v>7</v>
      </c>
      <c r="O5" s="39" t="s">
        <v>8</v>
      </c>
      <c r="P5" s="39" t="s">
        <v>9</v>
      </c>
      <c r="Q5" s="39" t="s">
        <v>10</v>
      </c>
      <c r="R5" s="39" t="s">
        <v>11</v>
      </c>
      <c r="S5" s="39" t="s">
        <v>12</v>
      </c>
      <c r="T5" s="205" t="s">
        <v>13</v>
      </c>
      <c r="U5" s="206"/>
      <c r="V5" s="206"/>
      <c r="W5" s="206"/>
      <c r="X5" s="206"/>
      <c r="Y5" s="206"/>
      <c r="Z5" s="206"/>
      <c r="AA5" s="206"/>
      <c r="AB5" s="207"/>
      <c r="AC5" s="167" t="s">
        <v>14</v>
      </c>
      <c r="AD5" s="167"/>
      <c r="AE5" s="167"/>
      <c r="AF5" s="167" t="s">
        <v>15</v>
      </c>
      <c r="AG5" s="167"/>
      <c r="AH5" s="167"/>
      <c r="AI5" s="167"/>
      <c r="AJ5" s="167"/>
      <c r="AK5" s="167"/>
      <c r="AL5" s="167"/>
      <c r="AM5" s="167" t="s">
        <v>16</v>
      </c>
      <c r="AN5" s="167"/>
      <c r="AO5" s="167"/>
      <c r="AP5" s="167" t="s">
        <v>17</v>
      </c>
      <c r="AQ5" s="167"/>
      <c r="AR5" s="167"/>
      <c r="AS5" s="167" t="s">
        <v>18</v>
      </c>
      <c r="AT5" s="167"/>
      <c r="AU5" s="171"/>
    </row>
    <row r="6" spans="1:48" ht="25.5" customHeight="1" thickBot="1" x14ac:dyDescent="0.3">
      <c r="A6" s="168"/>
      <c r="B6" s="169"/>
      <c r="C6" s="169"/>
      <c r="D6" s="169"/>
      <c r="E6" s="169"/>
      <c r="F6" s="169"/>
      <c r="G6" s="169"/>
      <c r="H6" s="169"/>
      <c r="I6" s="169"/>
      <c r="J6" s="169"/>
      <c r="K6" s="169"/>
      <c r="L6" s="170"/>
      <c r="M6" s="170"/>
      <c r="N6" s="40"/>
      <c r="O6" s="40" t="s">
        <v>19</v>
      </c>
      <c r="P6" s="40" t="s">
        <v>19</v>
      </c>
      <c r="Q6" s="40"/>
      <c r="R6" s="40"/>
      <c r="S6" s="40"/>
      <c r="T6" s="208"/>
      <c r="U6" s="209"/>
      <c r="V6" s="209"/>
      <c r="W6" s="209"/>
      <c r="X6" s="209"/>
      <c r="Y6" s="209"/>
      <c r="Z6" s="209"/>
      <c r="AA6" s="209"/>
      <c r="AB6" s="210"/>
      <c r="AC6" s="174"/>
      <c r="AD6" s="175"/>
      <c r="AE6" s="176"/>
      <c r="AF6" s="169"/>
      <c r="AG6" s="169"/>
      <c r="AH6" s="169"/>
      <c r="AI6" s="169"/>
      <c r="AJ6" s="169"/>
      <c r="AK6" s="169"/>
      <c r="AL6" s="169"/>
      <c r="AM6" s="169"/>
      <c r="AN6" s="169"/>
      <c r="AO6" s="169"/>
      <c r="AP6" s="172"/>
      <c r="AQ6" s="172"/>
      <c r="AR6" s="172"/>
      <c r="AS6" s="172"/>
      <c r="AT6" s="172"/>
      <c r="AU6" s="173"/>
    </row>
    <row r="7" spans="1:48" s="80" customFormat="1" ht="20.100000000000001" customHeight="1" x14ac:dyDescent="0.25">
      <c r="A7" s="179" t="s">
        <v>20</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1"/>
    </row>
    <row r="8" spans="1:48" s="55" customFormat="1" ht="55.5" customHeight="1" x14ac:dyDescent="0.25">
      <c r="A8" s="83" t="s">
        <v>21</v>
      </c>
      <c r="B8" s="182" t="s">
        <v>22</v>
      </c>
      <c r="C8" s="183"/>
      <c r="D8" s="183"/>
      <c r="E8" s="183"/>
      <c r="F8" s="183"/>
      <c r="G8" s="183"/>
      <c r="H8" s="183"/>
      <c r="I8" s="183"/>
      <c r="J8" s="183"/>
      <c r="K8" s="183"/>
      <c r="L8" s="137" t="s">
        <v>23</v>
      </c>
      <c r="M8" s="137"/>
      <c r="N8" s="137"/>
      <c r="O8" s="137"/>
      <c r="P8" s="137"/>
      <c r="Q8" s="137"/>
      <c r="R8" s="137"/>
      <c r="S8" s="75" t="s">
        <v>24</v>
      </c>
      <c r="T8" s="75" t="s">
        <v>25</v>
      </c>
      <c r="U8" s="75" t="s">
        <v>26</v>
      </c>
      <c r="V8" s="137" t="s">
        <v>27</v>
      </c>
      <c r="W8" s="137"/>
      <c r="X8" s="76" t="s">
        <v>28</v>
      </c>
      <c r="Y8" s="136" t="s">
        <v>29</v>
      </c>
      <c r="Z8" s="184"/>
      <c r="AA8" s="136" t="s">
        <v>30</v>
      </c>
      <c r="AB8" s="184"/>
      <c r="AC8" s="137" t="s">
        <v>31</v>
      </c>
      <c r="AD8" s="185"/>
      <c r="AE8" s="185"/>
      <c r="AF8" s="136" t="s">
        <v>32</v>
      </c>
      <c r="AG8" s="136"/>
      <c r="AH8" s="136"/>
      <c r="AI8" s="137"/>
      <c r="AJ8" s="138" t="s">
        <v>33</v>
      </c>
      <c r="AK8" s="139"/>
      <c r="AL8" s="139"/>
      <c r="AM8" s="138" t="s">
        <v>34</v>
      </c>
      <c r="AN8" s="138"/>
      <c r="AO8" s="138"/>
      <c r="AP8" s="138"/>
      <c r="AQ8" s="138"/>
      <c r="AR8" s="138"/>
      <c r="AS8" s="138"/>
      <c r="AT8" s="138"/>
      <c r="AU8" s="186"/>
    </row>
    <row r="9" spans="1:48" x14ac:dyDescent="0.25">
      <c r="A9" s="84" t="s">
        <v>35</v>
      </c>
      <c r="B9" s="114"/>
      <c r="C9" s="114"/>
      <c r="D9" s="114"/>
      <c r="E9" s="114"/>
      <c r="F9" s="114"/>
      <c r="G9" s="114"/>
      <c r="H9" s="114"/>
      <c r="I9" s="114"/>
      <c r="J9" s="114"/>
      <c r="K9" s="114"/>
      <c r="L9" s="114"/>
      <c r="M9" s="114"/>
      <c r="N9" s="114"/>
      <c r="O9" s="114"/>
      <c r="P9" s="114"/>
      <c r="Q9" s="114"/>
      <c r="R9" s="114"/>
      <c r="S9" s="71"/>
      <c r="T9" s="71" t="str">
        <f>IF(ISBLANK(L9)," ","FL")</f>
        <v xml:space="preserve"> </v>
      </c>
      <c r="U9" s="72"/>
      <c r="V9" s="114"/>
      <c r="W9" s="114"/>
      <c r="X9" s="73"/>
      <c r="Y9" s="187"/>
      <c r="Z9" s="187"/>
      <c r="AA9" s="187"/>
      <c r="AB9" s="187"/>
      <c r="AC9" s="114"/>
      <c r="AD9" s="114"/>
      <c r="AE9" s="114"/>
      <c r="AF9" s="114"/>
      <c r="AG9" s="114"/>
      <c r="AH9" s="114"/>
      <c r="AI9" s="114"/>
      <c r="AJ9" s="114"/>
      <c r="AK9" s="114"/>
      <c r="AL9" s="114"/>
      <c r="AM9" s="74"/>
      <c r="AN9" s="217" t="s">
        <v>36</v>
      </c>
      <c r="AO9" s="217"/>
      <c r="AP9" s="217"/>
      <c r="AQ9" s="217"/>
      <c r="AR9" s="74"/>
      <c r="AS9" s="217" t="s">
        <v>37</v>
      </c>
      <c r="AT9" s="217"/>
      <c r="AU9" s="218"/>
      <c r="AV9" s="19"/>
    </row>
    <row r="10" spans="1:48" x14ac:dyDescent="0.25">
      <c r="A10" s="42" t="s">
        <v>38</v>
      </c>
      <c r="B10" s="113"/>
      <c r="C10" s="113"/>
      <c r="D10" s="113"/>
      <c r="E10" s="113"/>
      <c r="F10" s="113"/>
      <c r="G10" s="113"/>
      <c r="H10" s="113"/>
      <c r="I10" s="113"/>
      <c r="J10" s="113"/>
      <c r="K10" s="113"/>
      <c r="L10" s="113"/>
      <c r="M10" s="113"/>
      <c r="N10" s="113"/>
      <c r="O10" s="113"/>
      <c r="P10" s="113"/>
      <c r="Q10" s="113"/>
      <c r="R10" s="113"/>
      <c r="S10" s="43"/>
      <c r="T10" s="43" t="str">
        <f t="shared" ref="T10:T13" si="0">IF(ISBLANK(L10)," ","FL")</f>
        <v xml:space="preserve"> </v>
      </c>
      <c r="U10" s="44"/>
      <c r="V10" s="113"/>
      <c r="W10" s="113"/>
      <c r="X10" s="64"/>
      <c r="Y10" s="166"/>
      <c r="Z10" s="166"/>
      <c r="AA10" s="166"/>
      <c r="AB10" s="166"/>
      <c r="AC10" s="113"/>
      <c r="AD10" s="113"/>
      <c r="AE10" s="113"/>
      <c r="AF10" s="113"/>
      <c r="AG10" s="113"/>
      <c r="AH10" s="113"/>
      <c r="AI10" s="113"/>
      <c r="AJ10" s="113"/>
      <c r="AK10" s="113"/>
      <c r="AL10" s="113"/>
      <c r="AM10" s="45"/>
      <c r="AN10" s="219" t="s">
        <v>39</v>
      </c>
      <c r="AO10" s="219"/>
      <c r="AP10" s="219"/>
      <c r="AQ10" s="219"/>
      <c r="AR10" s="45"/>
      <c r="AS10" s="219" t="s">
        <v>40</v>
      </c>
      <c r="AT10" s="219"/>
      <c r="AU10" s="220"/>
      <c r="AV10" s="19"/>
    </row>
    <row r="11" spans="1:48" x14ac:dyDescent="0.25">
      <c r="A11" s="42" t="s">
        <v>41</v>
      </c>
      <c r="B11" s="113"/>
      <c r="C11" s="113"/>
      <c r="D11" s="113"/>
      <c r="E11" s="113"/>
      <c r="F11" s="113"/>
      <c r="G11" s="113"/>
      <c r="H11" s="113"/>
      <c r="I11" s="113"/>
      <c r="J11" s="113"/>
      <c r="K11" s="113"/>
      <c r="L11" s="113"/>
      <c r="M11" s="113"/>
      <c r="N11" s="113"/>
      <c r="O11" s="113"/>
      <c r="P11" s="113"/>
      <c r="Q11" s="113"/>
      <c r="R11" s="113"/>
      <c r="S11" s="43"/>
      <c r="T11" s="43" t="str">
        <f t="shared" si="0"/>
        <v xml:space="preserve"> </v>
      </c>
      <c r="U11" s="44"/>
      <c r="V11" s="113"/>
      <c r="W11" s="113"/>
      <c r="X11" s="64"/>
      <c r="Y11" s="166"/>
      <c r="Z11" s="166"/>
      <c r="AA11" s="166"/>
      <c r="AB11" s="166"/>
      <c r="AC11" s="113"/>
      <c r="AD11" s="113"/>
      <c r="AE11" s="113"/>
      <c r="AF11" s="113"/>
      <c r="AG11" s="113"/>
      <c r="AH11" s="113"/>
      <c r="AI11" s="113"/>
      <c r="AJ11" s="113"/>
      <c r="AK11" s="113"/>
      <c r="AL11" s="113"/>
      <c r="AM11" s="45"/>
      <c r="AN11" s="219" t="s">
        <v>42</v>
      </c>
      <c r="AO11" s="219"/>
      <c r="AP11" s="219"/>
      <c r="AQ11" s="219"/>
      <c r="AR11" s="45"/>
      <c r="AS11" s="219" t="s">
        <v>43</v>
      </c>
      <c r="AT11" s="219"/>
      <c r="AU11" s="220"/>
    </row>
    <row r="12" spans="1:48" x14ac:dyDescent="0.25">
      <c r="A12" s="42" t="s">
        <v>44</v>
      </c>
      <c r="B12" s="113"/>
      <c r="C12" s="113"/>
      <c r="D12" s="113"/>
      <c r="E12" s="113"/>
      <c r="F12" s="113"/>
      <c r="G12" s="113"/>
      <c r="H12" s="113"/>
      <c r="I12" s="113"/>
      <c r="J12" s="113"/>
      <c r="K12" s="113"/>
      <c r="L12" s="113"/>
      <c r="M12" s="113"/>
      <c r="N12" s="113"/>
      <c r="O12" s="113"/>
      <c r="P12" s="113"/>
      <c r="Q12" s="113"/>
      <c r="R12" s="113"/>
      <c r="S12" s="43"/>
      <c r="T12" s="43" t="str">
        <f t="shared" si="0"/>
        <v xml:space="preserve"> </v>
      </c>
      <c r="U12" s="44"/>
      <c r="V12" s="113"/>
      <c r="W12" s="113"/>
      <c r="X12" s="64"/>
      <c r="Y12" s="166"/>
      <c r="Z12" s="166"/>
      <c r="AA12" s="166"/>
      <c r="AB12" s="166"/>
      <c r="AC12" s="113"/>
      <c r="AD12" s="113"/>
      <c r="AE12" s="113"/>
      <c r="AF12" s="113"/>
      <c r="AG12" s="113"/>
      <c r="AH12" s="113"/>
      <c r="AI12" s="113"/>
      <c r="AJ12" s="113"/>
      <c r="AK12" s="113"/>
      <c r="AL12" s="113"/>
      <c r="AM12" s="45"/>
      <c r="AN12" s="219" t="s">
        <v>45</v>
      </c>
      <c r="AO12" s="219"/>
      <c r="AP12" s="219"/>
      <c r="AQ12" s="219"/>
      <c r="AR12" s="45"/>
      <c r="AS12" s="219" t="s">
        <v>46</v>
      </c>
      <c r="AT12" s="219"/>
      <c r="AU12" s="220"/>
    </row>
    <row r="13" spans="1:48" x14ac:dyDescent="0.25">
      <c r="A13" s="42" t="s">
        <v>47</v>
      </c>
      <c r="B13" s="113"/>
      <c r="C13" s="113"/>
      <c r="D13" s="113"/>
      <c r="E13" s="113"/>
      <c r="F13" s="113"/>
      <c r="G13" s="113"/>
      <c r="H13" s="113"/>
      <c r="I13" s="113"/>
      <c r="J13" s="113"/>
      <c r="K13" s="113"/>
      <c r="L13" s="113"/>
      <c r="M13" s="113"/>
      <c r="N13" s="113"/>
      <c r="O13" s="113"/>
      <c r="P13" s="113"/>
      <c r="Q13" s="113"/>
      <c r="R13" s="113"/>
      <c r="S13" s="43"/>
      <c r="T13" s="43" t="str">
        <f t="shared" si="0"/>
        <v xml:space="preserve"> </v>
      </c>
      <c r="U13" s="44"/>
      <c r="V13" s="113"/>
      <c r="W13" s="113"/>
      <c r="X13" s="64"/>
      <c r="Y13" s="166"/>
      <c r="Z13" s="166"/>
      <c r="AA13" s="166"/>
      <c r="AB13" s="166"/>
      <c r="AC13" s="113"/>
      <c r="AD13" s="113"/>
      <c r="AE13" s="113"/>
      <c r="AF13" s="113"/>
      <c r="AG13" s="113"/>
      <c r="AH13" s="113"/>
      <c r="AI13" s="113"/>
      <c r="AJ13" s="113"/>
      <c r="AK13" s="113"/>
      <c r="AL13" s="113"/>
      <c r="AM13" s="45"/>
      <c r="AN13" s="219" t="s">
        <v>48</v>
      </c>
      <c r="AO13" s="219"/>
      <c r="AP13" s="219"/>
      <c r="AQ13" s="219"/>
      <c r="AR13" s="45"/>
      <c r="AS13" s="219" t="s">
        <v>49</v>
      </c>
      <c r="AT13" s="219"/>
      <c r="AU13" s="220"/>
    </row>
    <row r="14" spans="1:48" s="81" customFormat="1" ht="17.25" thickBot="1" x14ac:dyDescent="0.3">
      <c r="A14" s="47" t="s">
        <v>50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140"/>
      <c r="AN14" s="140"/>
      <c r="AO14" s="140"/>
      <c r="AP14" s="140"/>
      <c r="AQ14" s="140"/>
      <c r="AR14" s="140"/>
      <c r="AS14" s="140"/>
      <c r="AT14" s="140"/>
      <c r="AU14" s="141"/>
    </row>
    <row r="15" spans="1:48" ht="22.5" customHeight="1" thickBot="1" x14ac:dyDescent="0.3">
      <c r="A15" s="161"/>
      <c r="B15" s="154"/>
      <c r="C15" s="154"/>
      <c r="D15" s="154"/>
      <c r="E15" s="154"/>
      <c r="F15" s="130"/>
      <c r="G15" s="49"/>
      <c r="H15" s="49"/>
      <c r="I15" s="157" t="s">
        <v>51</v>
      </c>
      <c r="J15" s="158"/>
      <c r="K15" s="129"/>
      <c r="L15" s="154"/>
      <c r="M15" s="154"/>
      <c r="N15" s="154"/>
      <c r="O15" s="154"/>
      <c r="P15" s="154"/>
      <c r="Q15" s="154"/>
      <c r="R15" s="154"/>
      <c r="S15" s="154"/>
      <c r="T15" s="123" t="s">
        <v>52</v>
      </c>
      <c r="U15" s="124"/>
      <c r="V15" s="124"/>
      <c r="W15" s="125"/>
      <c r="X15" s="50"/>
      <c r="Y15" s="129"/>
      <c r="Z15" s="154"/>
      <c r="AA15" s="154"/>
      <c r="AB15" s="154"/>
      <c r="AC15" s="154"/>
      <c r="AD15" s="154"/>
      <c r="AE15" s="154"/>
      <c r="AF15" s="154"/>
      <c r="AG15" s="154"/>
      <c r="AH15" s="154"/>
      <c r="AI15" s="144"/>
      <c r="AJ15" s="146" t="s">
        <v>53</v>
      </c>
      <c r="AK15" s="147"/>
      <c r="AL15" s="147"/>
      <c r="AM15" s="147"/>
      <c r="AN15" s="147"/>
      <c r="AO15" s="147"/>
      <c r="AP15" s="148"/>
      <c r="AQ15" s="146" t="s">
        <v>54</v>
      </c>
      <c r="AR15" s="147"/>
      <c r="AS15" s="147"/>
      <c r="AT15" s="147"/>
      <c r="AU15" s="152"/>
    </row>
    <row r="16" spans="1:48" ht="17.25" thickBot="1" x14ac:dyDescent="0.3">
      <c r="A16" s="162"/>
      <c r="B16" s="156"/>
      <c r="C16" s="156"/>
      <c r="D16" s="156"/>
      <c r="E16" s="156"/>
      <c r="F16" s="163"/>
      <c r="G16" s="51"/>
      <c r="H16" s="51"/>
      <c r="I16" s="159"/>
      <c r="J16" s="160"/>
      <c r="K16" s="155"/>
      <c r="L16" s="156"/>
      <c r="M16" s="156"/>
      <c r="N16" s="156"/>
      <c r="O16" s="156"/>
      <c r="P16" s="156"/>
      <c r="Q16" s="156"/>
      <c r="R16" s="156"/>
      <c r="S16" s="156"/>
      <c r="T16" s="126" t="s">
        <v>55</v>
      </c>
      <c r="U16" s="127"/>
      <c r="V16" s="127"/>
      <c r="W16" s="128"/>
      <c r="X16" s="52"/>
      <c r="Y16" s="155"/>
      <c r="Z16" s="156"/>
      <c r="AA16" s="156"/>
      <c r="AB16" s="156"/>
      <c r="AC16" s="156"/>
      <c r="AD16" s="156"/>
      <c r="AE16" s="156"/>
      <c r="AF16" s="156"/>
      <c r="AG16" s="156"/>
      <c r="AH16" s="156"/>
      <c r="AI16" s="145"/>
      <c r="AJ16" s="149"/>
      <c r="AK16" s="150"/>
      <c r="AL16" s="150"/>
      <c r="AM16" s="150"/>
      <c r="AN16" s="150"/>
      <c r="AO16" s="150"/>
      <c r="AP16" s="151"/>
      <c r="AQ16" s="149"/>
      <c r="AR16" s="150"/>
      <c r="AS16" s="150"/>
      <c r="AT16" s="150"/>
      <c r="AU16" s="153"/>
    </row>
    <row r="17" spans="1:47" s="99" customFormat="1" ht="80.25" customHeight="1" x14ac:dyDescent="0.25">
      <c r="A17" s="142"/>
      <c r="B17" s="115" t="s">
        <v>56</v>
      </c>
      <c r="C17" s="115"/>
      <c r="D17" s="115"/>
      <c r="E17" s="115"/>
      <c r="F17" s="131" t="s">
        <v>57</v>
      </c>
      <c r="G17" s="115" t="s">
        <v>58</v>
      </c>
      <c r="H17" s="211" t="s">
        <v>59</v>
      </c>
      <c r="I17" s="115" t="s">
        <v>60</v>
      </c>
      <c r="J17" s="115"/>
      <c r="K17" s="115" t="s">
        <v>61</v>
      </c>
      <c r="L17" s="115"/>
      <c r="M17" s="115" t="s">
        <v>62</v>
      </c>
      <c r="N17" s="115"/>
      <c r="O17" s="115" t="s">
        <v>63</v>
      </c>
      <c r="P17" s="89" t="s">
        <v>64</v>
      </c>
      <c r="Q17" s="89" t="s">
        <v>65</v>
      </c>
      <c r="R17" s="115" t="s">
        <v>66</v>
      </c>
      <c r="S17" s="115" t="s">
        <v>67</v>
      </c>
      <c r="T17" s="115" t="s">
        <v>68</v>
      </c>
      <c r="U17" s="115"/>
      <c r="V17" s="164" t="s">
        <v>69</v>
      </c>
      <c r="W17" s="165"/>
      <c r="X17" s="115" t="s">
        <v>70</v>
      </c>
      <c r="Y17" s="115" t="s">
        <v>71</v>
      </c>
      <c r="Z17" s="115"/>
      <c r="AA17" s="115"/>
      <c r="AB17" s="115"/>
      <c r="AC17" s="115"/>
      <c r="AD17" s="115"/>
      <c r="AE17" s="115"/>
      <c r="AF17" s="115"/>
      <c r="AG17" s="89" t="s">
        <v>72</v>
      </c>
      <c r="AH17" s="89" t="s">
        <v>73</v>
      </c>
      <c r="AI17" s="131" t="s">
        <v>74</v>
      </c>
      <c r="AJ17" s="115" t="s">
        <v>75</v>
      </c>
      <c r="AK17" s="115" t="s">
        <v>76</v>
      </c>
      <c r="AL17" s="115" t="s">
        <v>77</v>
      </c>
      <c r="AM17" s="131" t="s">
        <v>78</v>
      </c>
      <c r="AN17" s="131"/>
      <c r="AO17" s="131" t="s">
        <v>79</v>
      </c>
      <c r="AP17" s="131"/>
      <c r="AQ17" s="115" t="s">
        <v>80</v>
      </c>
      <c r="AR17" s="131" t="s">
        <v>81</v>
      </c>
      <c r="AS17" s="131"/>
      <c r="AT17" s="131"/>
      <c r="AU17" s="200"/>
    </row>
    <row r="18" spans="1:47" s="99" customFormat="1" ht="17.25" customHeight="1" thickBot="1" x14ac:dyDescent="0.3">
      <c r="A18" s="143"/>
      <c r="B18" s="116" t="s">
        <v>82</v>
      </c>
      <c r="C18" s="116"/>
      <c r="D18" s="116" t="s">
        <v>83</v>
      </c>
      <c r="E18" s="116"/>
      <c r="F18" s="132"/>
      <c r="G18" s="116"/>
      <c r="H18" s="212"/>
      <c r="I18" s="116"/>
      <c r="J18" s="116"/>
      <c r="K18" s="116"/>
      <c r="L18" s="116"/>
      <c r="M18" s="116"/>
      <c r="N18" s="116"/>
      <c r="O18" s="116"/>
      <c r="P18" s="53" t="s">
        <v>84</v>
      </c>
      <c r="Q18" s="53" t="s">
        <v>84</v>
      </c>
      <c r="R18" s="116"/>
      <c r="S18" s="116"/>
      <c r="T18" s="118" t="s">
        <v>85</v>
      </c>
      <c r="U18" s="118"/>
      <c r="V18" s="190" t="s">
        <v>86</v>
      </c>
      <c r="W18" s="191"/>
      <c r="X18" s="116"/>
      <c r="Y18" s="133" t="s">
        <v>87</v>
      </c>
      <c r="Z18" s="134"/>
      <c r="AA18" s="135"/>
      <c r="AB18" s="133" t="s">
        <v>88</v>
      </c>
      <c r="AC18" s="134"/>
      <c r="AD18" s="134"/>
      <c r="AE18" s="134"/>
      <c r="AF18" s="135"/>
      <c r="AG18" s="177" t="s">
        <v>89</v>
      </c>
      <c r="AH18" s="178"/>
      <c r="AI18" s="132"/>
      <c r="AJ18" s="116"/>
      <c r="AK18" s="116"/>
      <c r="AL18" s="116"/>
      <c r="AM18" s="199" t="s">
        <v>90</v>
      </c>
      <c r="AN18" s="199"/>
      <c r="AO18" s="199"/>
      <c r="AP18" s="199"/>
      <c r="AQ18" s="116"/>
      <c r="AR18" s="132"/>
      <c r="AS18" s="132"/>
      <c r="AT18" s="132"/>
      <c r="AU18" s="201"/>
    </row>
    <row r="19" spans="1:47" ht="15" customHeight="1" x14ac:dyDescent="0.25">
      <c r="A19" s="41">
        <v>1</v>
      </c>
      <c r="B19" s="112"/>
      <c r="C19" s="112"/>
      <c r="D19" s="112"/>
      <c r="E19" s="112"/>
      <c r="F19" s="103"/>
      <c r="G19" s="65"/>
      <c r="H19" s="66"/>
      <c r="I19" s="112"/>
      <c r="J19" s="112"/>
      <c r="K19" s="112"/>
      <c r="L19" s="112"/>
      <c r="M19" s="129"/>
      <c r="N19" s="130"/>
      <c r="O19" s="103"/>
      <c r="P19" s="67"/>
      <c r="Q19" s="67"/>
      <c r="R19" s="103"/>
      <c r="S19" s="103"/>
      <c r="T19" s="112"/>
      <c r="U19" s="112"/>
      <c r="V19" s="112"/>
      <c r="W19" s="112"/>
      <c r="X19" s="103"/>
      <c r="Y19" s="112"/>
      <c r="Z19" s="112"/>
      <c r="AA19" s="112"/>
      <c r="AB19" s="110" t="str">
        <f>IF(Y19&lt;&gt;"", VLOOKUP(Y19, CBH_Taxonomies!C:D, 2, 0), "")</f>
        <v/>
      </c>
      <c r="AC19" s="110"/>
      <c r="AD19" s="110"/>
      <c r="AE19" s="110"/>
      <c r="AF19" s="110"/>
      <c r="AG19" s="106" t="str" cm="1">
        <f t="array" ref="AG19">_xlfn.TEXTJOIN(", ", TRUE, _xlfn.UNIQUE(IF(Sheet2!$A$2:$A$888 = LOAP!Y19, Sheet2!$B$2:$B$888, "")))</f>
        <v/>
      </c>
      <c r="AH19" s="106" t="str" cm="1">
        <f t="array" ref="AH19">_xlfn.TEXTJOIN(", ", TRUE, _xlfn.UNIQUE(IF(Sheet2!$A$2:$A$888 = LOAP!Y19, Sheet2!$C$2:$C$888, "")))</f>
        <v/>
      </c>
      <c r="AI19" s="103"/>
      <c r="AJ19" s="103"/>
      <c r="AK19" s="103"/>
      <c r="AL19" s="103"/>
      <c r="AM19" s="112"/>
      <c r="AN19" s="112"/>
      <c r="AO19" s="112"/>
      <c r="AP19" s="112"/>
      <c r="AQ19" s="103"/>
      <c r="AR19" s="112"/>
      <c r="AS19" s="112"/>
      <c r="AT19" s="112"/>
      <c r="AU19" s="202"/>
    </row>
    <row r="20" spans="1:47" ht="15" customHeight="1" x14ac:dyDescent="0.25">
      <c r="A20" s="42">
        <f>A19+1</f>
        <v>2</v>
      </c>
      <c r="B20" s="108"/>
      <c r="C20" s="108"/>
      <c r="D20" s="108"/>
      <c r="E20" s="108"/>
      <c r="F20" s="100"/>
      <c r="G20" s="62"/>
      <c r="H20" s="63"/>
      <c r="I20" s="108"/>
      <c r="J20" s="108"/>
      <c r="K20" s="108"/>
      <c r="L20" s="111"/>
      <c r="M20" s="108"/>
      <c r="N20" s="108"/>
      <c r="O20" s="107"/>
      <c r="P20" s="45"/>
      <c r="Q20" s="45"/>
      <c r="R20" s="100"/>
      <c r="S20" s="100"/>
      <c r="T20" s="108"/>
      <c r="U20" s="108"/>
      <c r="V20" s="108"/>
      <c r="W20" s="108"/>
      <c r="X20" s="100"/>
      <c r="Y20" s="108"/>
      <c r="Z20" s="108"/>
      <c r="AA20" s="108"/>
      <c r="AB20" s="109" t="str">
        <f>IF(Y20&lt;&gt;"", VLOOKUP(Y20, CBH_Taxonomies!C:D, 2, 0), "")</f>
        <v/>
      </c>
      <c r="AC20" s="109"/>
      <c r="AD20" s="109"/>
      <c r="AE20" s="109"/>
      <c r="AF20" s="109"/>
      <c r="AG20" s="102" t="str" cm="1">
        <f t="array" ref="AG20">_xlfn.TEXTJOIN(", ", TRUE, _xlfn.UNIQUE(IF(Sheet2!$A$2:$A$888 = LOAP!Y20, Sheet2!$B$2:$B$888, "")))</f>
        <v/>
      </c>
      <c r="AH20" s="102" t="str" cm="1">
        <f t="array" ref="AH20">_xlfn.TEXTJOIN(", ", TRUE, _xlfn.UNIQUE(IF(Sheet2!$A$2:$A$888 = LOAP!Y20, Sheet2!$C$2:$C$888, "")))</f>
        <v/>
      </c>
      <c r="AI20" s="100"/>
      <c r="AJ20" s="100"/>
      <c r="AK20" s="100"/>
      <c r="AL20" s="100" t="str">
        <f t="shared" ref="AL20:AL83" si="1">IF(ISBLANK(B20)," ","Y")</f>
        <v xml:space="preserve"> </v>
      </c>
      <c r="AM20" s="108"/>
      <c r="AN20" s="108"/>
      <c r="AO20" s="108"/>
      <c r="AP20" s="108"/>
      <c r="AQ20" s="100"/>
      <c r="AR20" s="108"/>
      <c r="AS20" s="108"/>
      <c r="AT20" s="108"/>
      <c r="AU20" s="122"/>
    </row>
    <row r="21" spans="1:47" ht="15" customHeight="1" x14ac:dyDescent="0.25">
      <c r="A21" s="42">
        <f t="shared" ref="A21:A84" si="2">A20+1</f>
        <v>3</v>
      </c>
      <c r="B21" s="108"/>
      <c r="C21" s="108"/>
      <c r="D21" s="108"/>
      <c r="E21" s="108"/>
      <c r="F21" s="100"/>
      <c r="G21" s="62"/>
      <c r="H21" s="63"/>
      <c r="I21" s="108"/>
      <c r="J21" s="108"/>
      <c r="K21" s="108"/>
      <c r="L21" s="111"/>
      <c r="M21" s="108"/>
      <c r="N21" s="108"/>
      <c r="O21" s="107"/>
      <c r="P21" s="45"/>
      <c r="Q21" s="45"/>
      <c r="R21" s="100"/>
      <c r="S21" s="100"/>
      <c r="T21" s="108"/>
      <c r="U21" s="108"/>
      <c r="V21" s="108"/>
      <c r="W21" s="108"/>
      <c r="X21" s="100"/>
      <c r="Y21" s="108"/>
      <c r="Z21" s="108"/>
      <c r="AA21" s="108"/>
      <c r="AB21" s="109" t="str">
        <f>IF(Y21&lt;&gt;"", VLOOKUP(Y21, CBH_Taxonomies!C:D, 2, 0), "")</f>
        <v/>
      </c>
      <c r="AC21" s="109"/>
      <c r="AD21" s="109"/>
      <c r="AE21" s="109"/>
      <c r="AF21" s="109"/>
      <c r="AG21" s="102" t="str" cm="1">
        <f t="array" ref="AG21">_xlfn.TEXTJOIN(", ", TRUE, _xlfn.UNIQUE(IF(Sheet2!$A$2:$A$888 = LOAP!Y21, Sheet2!$B$2:$B$888, "")))</f>
        <v/>
      </c>
      <c r="AH21" s="102" t="str" cm="1">
        <f t="array" ref="AH21">_xlfn.TEXTJOIN(", ", TRUE, _xlfn.UNIQUE(IF(Sheet2!$A$2:$A$888 = LOAP!Y21, Sheet2!$C$2:$C$888, "")))</f>
        <v/>
      </c>
      <c r="AI21" s="100"/>
      <c r="AJ21" s="100"/>
      <c r="AK21" s="100"/>
      <c r="AL21" s="100" t="str">
        <f t="shared" si="1"/>
        <v xml:space="preserve"> </v>
      </c>
      <c r="AM21" s="108"/>
      <c r="AN21" s="108"/>
      <c r="AO21" s="108"/>
      <c r="AP21" s="108"/>
      <c r="AQ21" s="100"/>
      <c r="AR21" s="108"/>
      <c r="AS21" s="108"/>
      <c r="AT21" s="108"/>
      <c r="AU21" s="122"/>
    </row>
    <row r="22" spans="1:47" ht="15" customHeight="1" x14ac:dyDescent="0.25">
      <c r="A22" s="42">
        <f t="shared" si="2"/>
        <v>4</v>
      </c>
      <c r="B22" s="108"/>
      <c r="C22" s="108"/>
      <c r="D22" s="108"/>
      <c r="E22" s="108"/>
      <c r="F22" s="100"/>
      <c r="G22" s="62"/>
      <c r="H22" s="63"/>
      <c r="I22" s="108"/>
      <c r="J22" s="108"/>
      <c r="K22" s="108"/>
      <c r="L22" s="111"/>
      <c r="M22" s="108"/>
      <c r="N22" s="108"/>
      <c r="O22" s="107"/>
      <c r="P22" s="45"/>
      <c r="Q22" s="45"/>
      <c r="R22" s="100"/>
      <c r="S22" s="100"/>
      <c r="T22" s="108"/>
      <c r="U22" s="108"/>
      <c r="V22" s="108"/>
      <c r="W22" s="108"/>
      <c r="X22" s="100"/>
      <c r="Y22" s="108"/>
      <c r="Z22" s="108"/>
      <c r="AA22" s="108"/>
      <c r="AB22" s="109" t="str">
        <f>IF(Y22&lt;&gt;"", VLOOKUP(Y22, CBH_Taxonomies!C:D, 2, 0), "")</f>
        <v/>
      </c>
      <c r="AC22" s="109"/>
      <c r="AD22" s="109"/>
      <c r="AE22" s="109"/>
      <c r="AF22" s="109"/>
      <c r="AG22" s="102" t="str" cm="1">
        <f t="array" ref="AG22">_xlfn.TEXTJOIN(", ", TRUE, _xlfn.UNIQUE(IF(Sheet2!$A$2:$A$888 = LOAP!Y22, Sheet2!$B$2:$B$888, "")))</f>
        <v/>
      </c>
      <c r="AH22" s="102" t="str" cm="1">
        <f t="array" ref="AH22">_xlfn.TEXTJOIN(", ", TRUE, _xlfn.UNIQUE(IF(Sheet2!$A$2:$A$888 = LOAP!Y22, Sheet2!$C$2:$C$888, "")))</f>
        <v/>
      </c>
      <c r="AI22" s="100"/>
      <c r="AJ22" s="100"/>
      <c r="AK22" s="100"/>
      <c r="AL22" s="100" t="str">
        <f t="shared" si="1"/>
        <v xml:space="preserve"> </v>
      </c>
      <c r="AM22" s="108"/>
      <c r="AN22" s="108"/>
      <c r="AO22" s="108"/>
      <c r="AP22" s="108"/>
      <c r="AQ22" s="100"/>
      <c r="AR22" s="108"/>
      <c r="AS22" s="108"/>
      <c r="AT22" s="108"/>
      <c r="AU22" s="122"/>
    </row>
    <row r="23" spans="1:47" ht="15" customHeight="1" x14ac:dyDescent="0.25">
      <c r="A23" s="42">
        <f t="shared" si="2"/>
        <v>5</v>
      </c>
      <c r="B23" s="108"/>
      <c r="C23" s="108"/>
      <c r="D23" s="108"/>
      <c r="E23" s="108"/>
      <c r="F23" s="100"/>
      <c r="G23" s="62"/>
      <c r="H23" s="63"/>
      <c r="I23" s="108"/>
      <c r="J23" s="108"/>
      <c r="K23" s="108"/>
      <c r="L23" s="111"/>
      <c r="M23" s="108"/>
      <c r="N23" s="108"/>
      <c r="O23" s="107"/>
      <c r="P23" s="45"/>
      <c r="Q23" s="45"/>
      <c r="R23" s="100"/>
      <c r="S23" s="100"/>
      <c r="T23" s="108"/>
      <c r="U23" s="108"/>
      <c r="V23" s="108"/>
      <c r="W23" s="108"/>
      <c r="X23" s="100"/>
      <c r="Y23" s="108"/>
      <c r="Z23" s="108"/>
      <c r="AA23" s="108"/>
      <c r="AB23" s="109" t="str">
        <f>IF(Y23&lt;&gt;"", VLOOKUP(Y23, CBH_Taxonomies!C:D, 2, 0), "")</f>
        <v/>
      </c>
      <c r="AC23" s="109"/>
      <c r="AD23" s="109"/>
      <c r="AE23" s="109"/>
      <c r="AF23" s="109"/>
      <c r="AG23" s="102" t="str" cm="1">
        <f t="array" ref="AG23">_xlfn.TEXTJOIN(", ", TRUE, _xlfn.UNIQUE(IF(Sheet2!$A$2:$A$888 = LOAP!Y23, Sheet2!$B$2:$B$888, "")))</f>
        <v/>
      </c>
      <c r="AH23" s="102" t="str" cm="1">
        <f t="array" ref="AH23">_xlfn.TEXTJOIN(", ", TRUE, _xlfn.UNIQUE(IF(Sheet2!$A$2:$A$888 = LOAP!Y23, Sheet2!$C$2:$C$888, "")))</f>
        <v/>
      </c>
      <c r="AI23" s="100"/>
      <c r="AJ23" s="100"/>
      <c r="AK23" s="100"/>
      <c r="AL23" s="100" t="str">
        <f t="shared" si="1"/>
        <v xml:space="preserve"> </v>
      </c>
      <c r="AM23" s="108"/>
      <c r="AN23" s="108"/>
      <c r="AO23" s="108"/>
      <c r="AP23" s="108"/>
      <c r="AQ23" s="100"/>
      <c r="AR23" s="108"/>
      <c r="AS23" s="108"/>
      <c r="AT23" s="108"/>
      <c r="AU23" s="122"/>
    </row>
    <row r="24" spans="1:47" ht="15" customHeight="1" x14ac:dyDescent="0.25">
      <c r="A24" s="42">
        <f t="shared" si="2"/>
        <v>6</v>
      </c>
      <c r="B24" s="108"/>
      <c r="C24" s="108"/>
      <c r="D24" s="108"/>
      <c r="E24" s="108"/>
      <c r="F24" s="100"/>
      <c r="G24" s="62"/>
      <c r="H24" s="63"/>
      <c r="I24" s="108"/>
      <c r="J24" s="108"/>
      <c r="K24" s="108"/>
      <c r="L24" s="111"/>
      <c r="M24" s="108"/>
      <c r="N24" s="108"/>
      <c r="O24" s="107"/>
      <c r="P24" s="45"/>
      <c r="Q24" s="45"/>
      <c r="R24" s="100"/>
      <c r="S24" s="100"/>
      <c r="T24" s="108"/>
      <c r="U24" s="108"/>
      <c r="V24" s="108"/>
      <c r="W24" s="108"/>
      <c r="X24" s="100"/>
      <c r="Y24" s="108"/>
      <c r="Z24" s="108"/>
      <c r="AA24" s="108"/>
      <c r="AB24" s="109" t="str">
        <f>IF(Y24&lt;&gt;"", VLOOKUP(Y24, CBH_Taxonomies!C:D, 2, 0), "")</f>
        <v/>
      </c>
      <c r="AC24" s="109"/>
      <c r="AD24" s="109"/>
      <c r="AE24" s="109"/>
      <c r="AF24" s="109"/>
      <c r="AG24" s="102" t="str" cm="1">
        <f t="array" ref="AG24">_xlfn.TEXTJOIN(", ", TRUE, _xlfn.UNIQUE(IF(Sheet2!$A$2:$A$888 = LOAP!Y24, Sheet2!$B$2:$B$888, "")))</f>
        <v/>
      </c>
      <c r="AH24" s="102" t="str" cm="1">
        <f t="array" ref="AH24">_xlfn.TEXTJOIN(", ", TRUE, _xlfn.UNIQUE(IF(Sheet2!$A$2:$A$888 = LOAP!Y24, Sheet2!$C$2:$C$888, "")))</f>
        <v/>
      </c>
      <c r="AI24" s="100"/>
      <c r="AJ24" s="100"/>
      <c r="AK24" s="100"/>
      <c r="AL24" s="100" t="str">
        <f t="shared" si="1"/>
        <v xml:space="preserve"> </v>
      </c>
      <c r="AM24" s="108"/>
      <c r="AN24" s="108"/>
      <c r="AO24" s="108"/>
      <c r="AP24" s="108"/>
      <c r="AQ24" s="100"/>
      <c r="AR24" s="108"/>
      <c r="AS24" s="108"/>
      <c r="AT24" s="108"/>
      <c r="AU24" s="122"/>
    </row>
    <row r="25" spans="1:47" ht="15" customHeight="1" x14ac:dyDescent="0.25">
      <c r="A25" s="42">
        <f t="shared" si="2"/>
        <v>7</v>
      </c>
      <c r="B25" s="108"/>
      <c r="C25" s="108"/>
      <c r="D25" s="108"/>
      <c r="E25" s="108"/>
      <c r="F25" s="100"/>
      <c r="G25" s="62"/>
      <c r="H25" s="63"/>
      <c r="I25" s="108"/>
      <c r="J25" s="108"/>
      <c r="K25" s="108"/>
      <c r="L25" s="111"/>
      <c r="M25" s="108"/>
      <c r="N25" s="108"/>
      <c r="O25" s="107"/>
      <c r="P25" s="45"/>
      <c r="Q25" s="45"/>
      <c r="R25" s="100"/>
      <c r="S25" s="100"/>
      <c r="T25" s="108"/>
      <c r="U25" s="108"/>
      <c r="V25" s="108"/>
      <c r="W25" s="108"/>
      <c r="X25" s="100"/>
      <c r="Y25" s="108"/>
      <c r="Z25" s="108"/>
      <c r="AA25" s="108"/>
      <c r="AB25" s="109" t="str">
        <f>IF(Y25&lt;&gt;"", VLOOKUP(Y25, CBH_Taxonomies!C:D, 2, 0), "")</f>
        <v/>
      </c>
      <c r="AC25" s="109"/>
      <c r="AD25" s="109"/>
      <c r="AE25" s="109"/>
      <c r="AF25" s="109"/>
      <c r="AG25" s="102" t="str" cm="1">
        <f t="array" ref="AG25">_xlfn.TEXTJOIN(", ", TRUE, _xlfn.UNIQUE(IF(Sheet2!$A$2:$A$888 = LOAP!Y25, Sheet2!$B$2:$B$888, "")))</f>
        <v/>
      </c>
      <c r="AH25" s="102" t="str" cm="1">
        <f t="array" ref="AH25">_xlfn.TEXTJOIN(", ", TRUE, _xlfn.UNIQUE(IF(Sheet2!$A$2:$A$888 = LOAP!Y25, Sheet2!$C$2:$C$888, "")))</f>
        <v/>
      </c>
      <c r="AI25" s="100"/>
      <c r="AJ25" s="100"/>
      <c r="AK25" s="100"/>
      <c r="AL25" s="100" t="str">
        <f t="shared" si="1"/>
        <v xml:space="preserve"> </v>
      </c>
      <c r="AM25" s="108"/>
      <c r="AN25" s="108"/>
      <c r="AO25" s="108"/>
      <c r="AP25" s="108"/>
      <c r="AQ25" s="100"/>
      <c r="AR25" s="108"/>
      <c r="AS25" s="108"/>
      <c r="AT25" s="108"/>
      <c r="AU25" s="122"/>
    </row>
    <row r="26" spans="1:47" ht="15" customHeight="1" x14ac:dyDescent="0.25">
      <c r="A26" s="42">
        <f t="shared" si="2"/>
        <v>8</v>
      </c>
      <c r="B26" s="108"/>
      <c r="C26" s="108"/>
      <c r="D26" s="108"/>
      <c r="E26" s="108"/>
      <c r="F26" s="100"/>
      <c r="G26" s="62"/>
      <c r="H26" s="63"/>
      <c r="I26" s="108"/>
      <c r="J26" s="108"/>
      <c r="K26" s="108"/>
      <c r="L26" s="111"/>
      <c r="M26" s="108"/>
      <c r="N26" s="108"/>
      <c r="O26" s="107"/>
      <c r="P26" s="45"/>
      <c r="Q26" s="45"/>
      <c r="R26" s="100"/>
      <c r="S26" s="100"/>
      <c r="T26" s="108"/>
      <c r="U26" s="108"/>
      <c r="V26" s="108"/>
      <c r="W26" s="108"/>
      <c r="X26" s="100"/>
      <c r="Y26" s="108"/>
      <c r="Z26" s="108"/>
      <c r="AA26" s="108"/>
      <c r="AB26" s="109" t="str">
        <f>IF(Y26&lt;&gt;"", VLOOKUP(Y26, CBH_Taxonomies!C:D, 2, 0), "")</f>
        <v/>
      </c>
      <c r="AC26" s="109"/>
      <c r="AD26" s="109"/>
      <c r="AE26" s="109"/>
      <c r="AF26" s="109"/>
      <c r="AG26" s="102" t="str" cm="1">
        <f t="array" ref="AG26">_xlfn.TEXTJOIN(", ", TRUE, _xlfn.UNIQUE(IF(Sheet2!$A$2:$A$888 = LOAP!Y26, Sheet2!$B$2:$B$888, "")))</f>
        <v/>
      </c>
      <c r="AH26" s="102" t="str" cm="1">
        <f t="array" ref="AH26">_xlfn.TEXTJOIN(", ", TRUE, _xlfn.UNIQUE(IF(Sheet2!$A$2:$A$888 = LOAP!Y26, Sheet2!$C$2:$C$888, "")))</f>
        <v/>
      </c>
      <c r="AI26" s="100"/>
      <c r="AJ26" s="100"/>
      <c r="AK26" s="100"/>
      <c r="AL26" s="100" t="str">
        <f t="shared" si="1"/>
        <v xml:space="preserve"> </v>
      </c>
      <c r="AM26" s="108"/>
      <c r="AN26" s="108"/>
      <c r="AO26" s="108"/>
      <c r="AP26" s="108"/>
      <c r="AQ26" s="100"/>
      <c r="AR26" s="108"/>
      <c r="AS26" s="108"/>
      <c r="AT26" s="108"/>
      <c r="AU26" s="122"/>
    </row>
    <row r="27" spans="1:47" ht="15" customHeight="1" x14ac:dyDescent="0.25">
      <c r="A27" s="42">
        <f t="shared" si="2"/>
        <v>9</v>
      </c>
      <c r="B27" s="108"/>
      <c r="C27" s="108"/>
      <c r="D27" s="108"/>
      <c r="E27" s="108"/>
      <c r="F27" s="100"/>
      <c r="G27" s="62"/>
      <c r="H27" s="63"/>
      <c r="I27" s="108"/>
      <c r="J27" s="108"/>
      <c r="K27" s="108"/>
      <c r="L27" s="111"/>
      <c r="M27" s="108"/>
      <c r="N27" s="108"/>
      <c r="O27" s="107"/>
      <c r="P27" s="45"/>
      <c r="Q27" s="45"/>
      <c r="R27" s="100"/>
      <c r="S27" s="100"/>
      <c r="T27" s="108"/>
      <c r="U27" s="108"/>
      <c r="V27" s="108"/>
      <c r="W27" s="108"/>
      <c r="X27" s="100"/>
      <c r="Y27" s="108"/>
      <c r="Z27" s="108"/>
      <c r="AA27" s="108"/>
      <c r="AB27" s="109" t="str">
        <f>IF(Y27&lt;&gt;"", VLOOKUP(Y27, CBH_Taxonomies!C:D, 2, 0), "")</f>
        <v/>
      </c>
      <c r="AC27" s="109"/>
      <c r="AD27" s="109"/>
      <c r="AE27" s="109"/>
      <c r="AF27" s="109"/>
      <c r="AG27" s="102" t="str" cm="1">
        <f t="array" ref="AG27">_xlfn.TEXTJOIN(", ", TRUE, _xlfn.UNIQUE(IF(Sheet2!$A$2:$A$888 = LOAP!Y27, Sheet2!$B$2:$B$888, "")))</f>
        <v/>
      </c>
      <c r="AH27" s="102" t="str" cm="1">
        <f t="array" ref="AH27">_xlfn.TEXTJOIN(", ", TRUE, _xlfn.UNIQUE(IF(Sheet2!$A$2:$A$888 = LOAP!Y27, Sheet2!$C$2:$C$888, "")))</f>
        <v/>
      </c>
      <c r="AI27" s="100"/>
      <c r="AJ27" s="100"/>
      <c r="AK27" s="100"/>
      <c r="AL27" s="100" t="str">
        <f t="shared" si="1"/>
        <v xml:space="preserve"> </v>
      </c>
      <c r="AM27" s="108"/>
      <c r="AN27" s="108"/>
      <c r="AO27" s="108"/>
      <c r="AP27" s="108"/>
      <c r="AQ27" s="100"/>
      <c r="AR27" s="108"/>
      <c r="AS27" s="108"/>
      <c r="AT27" s="108"/>
      <c r="AU27" s="122"/>
    </row>
    <row r="28" spans="1:47" ht="15" customHeight="1" x14ac:dyDescent="0.25">
      <c r="A28" s="42">
        <f t="shared" si="2"/>
        <v>10</v>
      </c>
      <c r="B28" s="108"/>
      <c r="C28" s="108"/>
      <c r="D28" s="108"/>
      <c r="E28" s="108"/>
      <c r="F28" s="100"/>
      <c r="G28" s="62"/>
      <c r="H28" s="63"/>
      <c r="I28" s="108"/>
      <c r="J28" s="108"/>
      <c r="K28" s="108"/>
      <c r="L28" s="111"/>
      <c r="M28" s="108"/>
      <c r="N28" s="108"/>
      <c r="O28" s="107"/>
      <c r="P28" s="45"/>
      <c r="Q28" s="45"/>
      <c r="R28" s="100"/>
      <c r="S28" s="100"/>
      <c r="T28" s="108"/>
      <c r="U28" s="108"/>
      <c r="V28" s="108"/>
      <c r="W28" s="108"/>
      <c r="X28" s="100"/>
      <c r="Y28" s="108"/>
      <c r="Z28" s="108"/>
      <c r="AA28" s="108"/>
      <c r="AB28" s="109" t="str">
        <f>IF(Y28&lt;&gt;"", VLOOKUP(Y28, CBH_Taxonomies!C:D, 2, 0), "")</f>
        <v/>
      </c>
      <c r="AC28" s="109"/>
      <c r="AD28" s="109"/>
      <c r="AE28" s="109"/>
      <c r="AF28" s="109"/>
      <c r="AG28" s="102" t="str" cm="1">
        <f t="array" ref="AG28">_xlfn.TEXTJOIN(", ", TRUE, _xlfn.UNIQUE(IF(Sheet2!$A$2:$A$888 = LOAP!Y28, Sheet2!$B$2:$B$888, "")))</f>
        <v/>
      </c>
      <c r="AH28" s="102" t="str" cm="1">
        <f t="array" ref="AH28">_xlfn.TEXTJOIN(", ", TRUE, _xlfn.UNIQUE(IF(Sheet2!$A$2:$A$888 = LOAP!Y28, Sheet2!$C$2:$C$888, "")))</f>
        <v/>
      </c>
      <c r="AI28" s="100"/>
      <c r="AJ28" s="100"/>
      <c r="AK28" s="100"/>
      <c r="AL28" s="100" t="str">
        <f t="shared" si="1"/>
        <v xml:space="preserve"> </v>
      </c>
      <c r="AM28" s="108"/>
      <c r="AN28" s="108"/>
      <c r="AO28" s="108"/>
      <c r="AP28" s="108"/>
      <c r="AQ28" s="100"/>
      <c r="AR28" s="108"/>
      <c r="AS28" s="108"/>
      <c r="AT28" s="108"/>
      <c r="AU28" s="122"/>
    </row>
    <row r="29" spans="1:47" ht="15" customHeight="1" x14ac:dyDescent="0.25">
      <c r="A29" s="42">
        <f t="shared" si="2"/>
        <v>11</v>
      </c>
      <c r="B29" s="108"/>
      <c r="C29" s="108"/>
      <c r="D29" s="108"/>
      <c r="E29" s="108"/>
      <c r="F29" s="100"/>
      <c r="G29" s="62"/>
      <c r="H29" s="63"/>
      <c r="I29" s="108"/>
      <c r="J29" s="108"/>
      <c r="K29" s="108"/>
      <c r="L29" s="111"/>
      <c r="M29" s="108"/>
      <c r="N29" s="108"/>
      <c r="O29" s="107"/>
      <c r="P29" s="45"/>
      <c r="Q29" s="45"/>
      <c r="R29" s="100"/>
      <c r="S29" s="100"/>
      <c r="T29" s="108"/>
      <c r="U29" s="108"/>
      <c r="V29" s="108"/>
      <c r="W29" s="108"/>
      <c r="X29" s="100"/>
      <c r="Y29" s="108"/>
      <c r="Z29" s="108"/>
      <c r="AA29" s="108"/>
      <c r="AB29" s="109" t="str">
        <f>IF(Y29&lt;&gt;"", VLOOKUP(Y29, CBH_Taxonomies!C:D, 2, 0), "")</f>
        <v/>
      </c>
      <c r="AC29" s="109"/>
      <c r="AD29" s="109"/>
      <c r="AE29" s="109"/>
      <c r="AF29" s="109"/>
      <c r="AG29" s="102" t="str" cm="1">
        <f t="array" ref="AG29">_xlfn.TEXTJOIN(", ", TRUE, _xlfn.UNIQUE(IF(Sheet2!$A$2:$A$888 = LOAP!Y29, Sheet2!$B$2:$B$888, "")))</f>
        <v/>
      </c>
      <c r="AH29" s="102" t="str" cm="1">
        <f t="array" ref="AH29">_xlfn.TEXTJOIN(", ", TRUE, _xlfn.UNIQUE(IF(Sheet2!$A$2:$A$888 = LOAP!Y29, Sheet2!$C$2:$C$888, "")))</f>
        <v/>
      </c>
      <c r="AI29" s="100"/>
      <c r="AJ29" s="100"/>
      <c r="AK29" s="100"/>
      <c r="AL29" s="100" t="str">
        <f t="shared" si="1"/>
        <v xml:space="preserve"> </v>
      </c>
      <c r="AM29" s="108"/>
      <c r="AN29" s="108"/>
      <c r="AO29" s="108"/>
      <c r="AP29" s="108"/>
      <c r="AQ29" s="100"/>
      <c r="AR29" s="108"/>
      <c r="AS29" s="108"/>
      <c r="AT29" s="108"/>
      <c r="AU29" s="122"/>
    </row>
    <row r="30" spans="1:47" ht="15" customHeight="1" x14ac:dyDescent="0.25">
      <c r="A30" s="42">
        <f t="shared" si="2"/>
        <v>12</v>
      </c>
      <c r="B30" s="108"/>
      <c r="C30" s="108"/>
      <c r="D30" s="108"/>
      <c r="E30" s="108"/>
      <c r="F30" s="100"/>
      <c r="G30" s="62"/>
      <c r="H30" s="63"/>
      <c r="I30" s="108"/>
      <c r="J30" s="108"/>
      <c r="K30" s="108"/>
      <c r="L30" s="111"/>
      <c r="M30" s="108"/>
      <c r="N30" s="108"/>
      <c r="O30" s="107"/>
      <c r="P30" s="45"/>
      <c r="Q30" s="45"/>
      <c r="R30" s="100"/>
      <c r="S30" s="100"/>
      <c r="T30" s="108"/>
      <c r="U30" s="108"/>
      <c r="V30" s="108"/>
      <c r="W30" s="108"/>
      <c r="X30" s="100"/>
      <c r="Y30" s="108"/>
      <c r="Z30" s="108"/>
      <c r="AA30" s="108"/>
      <c r="AB30" s="109" t="str">
        <f>IF(Y30&lt;&gt;"", VLOOKUP(Y30, CBH_Taxonomies!C:D, 2, 0), "")</f>
        <v/>
      </c>
      <c r="AC30" s="109"/>
      <c r="AD30" s="109"/>
      <c r="AE30" s="109"/>
      <c r="AF30" s="109"/>
      <c r="AG30" s="102" t="str" cm="1">
        <f t="array" ref="AG30">_xlfn.TEXTJOIN(", ", TRUE, _xlfn.UNIQUE(IF(Sheet2!$A$2:$A$888 = LOAP!Y30, Sheet2!$B$2:$B$888, "")))</f>
        <v/>
      </c>
      <c r="AH30" s="102" t="str" cm="1">
        <f t="array" ref="AH30">_xlfn.TEXTJOIN(", ", TRUE, _xlfn.UNIQUE(IF(Sheet2!$A$2:$A$888 = LOAP!Y30, Sheet2!$C$2:$C$888, "")))</f>
        <v/>
      </c>
      <c r="AI30" s="100"/>
      <c r="AJ30" s="100"/>
      <c r="AK30" s="100"/>
      <c r="AL30" s="100" t="str">
        <f t="shared" si="1"/>
        <v xml:space="preserve"> </v>
      </c>
      <c r="AM30" s="108"/>
      <c r="AN30" s="108"/>
      <c r="AO30" s="108"/>
      <c r="AP30" s="108"/>
      <c r="AQ30" s="100"/>
      <c r="AR30" s="108"/>
      <c r="AS30" s="108"/>
      <c r="AT30" s="108"/>
      <c r="AU30" s="122"/>
    </row>
    <row r="31" spans="1:47" ht="15" customHeight="1" x14ac:dyDescent="0.25">
      <c r="A31" s="42">
        <f t="shared" si="2"/>
        <v>13</v>
      </c>
      <c r="B31" s="108"/>
      <c r="C31" s="108"/>
      <c r="D31" s="108"/>
      <c r="E31" s="108"/>
      <c r="F31" s="100"/>
      <c r="G31" s="62"/>
      <c r="H31" s="63"/>
      <c r="I31" s="108"/>
      <c r="J31" s="108"/>
      <c r="K31" s="108"/>
      <c r="L31" s="111"/>
      <c r="M31" s="108"/>
      <c r="N31" s="108"/>
      <c r="O31" s="107"/>
      <c r="P31" s="45"/>
      <c r="Q31" s="45"/>
      <c r="R31" s="100"/>
      <c r="S31" s="100"/>
      <c r="T31" s="108"/>
      <c r="U31" s="108"/>
      <c r="V31" s="108"/>
      <c r="W31" s="108"/>
      <c r="X31" s="100"/>
      <c r="Y31" s="108"/>
      <c r="Z31" s="108"/>
      <c r="AA31" s="108"/>
      <c r="AB31" s="109" t="str">
        <f>IF(Y31&lt;&gt;"", VLOOKUP(Y31, CBH_Taxonomies!C:D, 2, 0), "")</f>
        <v/>
      </c>
      <c r="AC31" s="109"/>
      <c r="AD31" s="109"/>
      <c r="AE31" s="109"/>
      <c r="AF31" s="109"/>
      <c r="AG31" s="102" t="str" cm="1">
        <f t="array" ref="AG31">_xlfn.TEXTJOIN(", ", TRUE, _xlfn.UNIQUE(IF(Sheet2!$A$2:$A$888 = LOAP!Y31, Sheet2!$B$2:$B$888, "")))</f>
        <v/>
      </c>
      <c r="AH31" s="102" t="str" cm="1">
        <f t="array" ref="AH31">_xlfn.TEXTJOIN(", ", TRUE, _xlfn.UNIQUE(IF(Sheet2!$A$2:$A$888 = LOAP!Y31, Sheet2!$C$2:$C$888, "")))</f>
        <v/>
      </c>
      <c r="AI31" s="100"/>
      <c r="AJ31" s="100"/>
      <c r="AK31" s="100"/>
      <c r="AL31" s="100" t="str">
        <f t="shared" si="1"/>
        <v xml:space="preserve"> </v>
      </c>
      <c r="AM31" s="108"/>
      <c r="AN31" s="108"/>
      <c r="AO31" s="108"/>
      <c r="AP31" s="108"/>
      <c r="AQ31" s="100"/>
      <c r="AR31" s="108"/>
      <c r="AS31" s="108"/>
      <c r="AT31" s="108"/>
      <c r="AU31" s="122"/>
    </row>
    <row r="32" spans="1:47" ht="15" customHeight="1" x14ac:dyDescent="0.25">
      <c r="A32" s="42">
        <f t="shared" si="2"/>
        <v>14</v>
      </c>
      <c r="B32" s="108"/>
      <c r="C32" s="108"/>
      <c r="D32" s="108"/>
      <c r="E32" s="108"/>
      <c r="F32" s="100"/>
      <c r="G32" s="62"/>
      <c r="H32" s="63"/>
      <c r="I32" s="108"/>
      <c r="J32" s="108"/>
      <c r="K32" s="108"/>
      <c r="L32" s="111"/>
      <c r="M32" s="108"/>
      <c r="N32" s="108"/>
      <c r="O32" s="107"/>
      <c r="P32" s="45"/>
      <c r="Q32" s="45"/>
      <c r="R32" s="100"/>
      <c r="S32" s="100"/>
      <c r="T32" s="108"/>
      <c r="U32" s="108"/>
      <c r="V32" s="108"/>
      <c r="W32" s="108"/>
      <c r="X32" s="100"/>
      <c r="Y32" s="108"/>
      <c r="Z32" s="108"/>
      <c r="AA32" s="108"/>
      <c r="AB32" s="109" t="str">
        <f>IF(Y32&lt;&gt;"", VLOOKUP(Y32, CBH_Taxonomies!C:D, 2, 0), "")</f>
        <v/>
      </c>
      <c r="AC32" s="109"/>
      <c r="AD32" s="109"/>
      <c r="AE32" s="109"/>
      <c r="AF32" s="109"/>
      <c r="AG32" s="102" t="str" cm="1">
        <f t="array" ref="AG32">_xlfn.TEXTJOIN(", ", TRUE, _xlfn.UNIQUE(IF(Sheet2!$A$2:$A$888 = LOAP!Y32, Sheet2!$B$2:$B$888, "")))</f>
        <v/>
      </c>
      <c r="AH32" s="102" t="str" cm="1">
        <f t="array" ref="AH32">_xlfn.TEXTJOIN(", ", TRUE, _xlfn.UNIQUE(IF(Sheet2!$A$2:$A$888 = LOAP!Y32, Sheet2!$C$2:$C$888, "")))</f>
        <v/>
      </c>
      <c r="AI32" s="100"/>
      <c r="AJ32" s="100"/>
      <c r="AK32" s="100"/>
      <c r="AL32" s="100" t="str">
        <f t="shared" si="1"/>
        <v xml:space="preserve"> </v>
      </c>
      <c r="AM32" s="108"/>
      <c r="AN32" s="108"/>
      <c r="AO32" s="108"/>
      <c r="AP32" s="108"/>
      <c r="AQ32" s="100"/>
      <c r="AR32" s="108"/>
      <c r="AS32" s="108"/>
      <c r="AT32" s="108"/>
      <c r="AU32" s="122"/>
    </row>
    <row r="33" spans="1:47" ht="15" customHeight="1" x14ac:dyDescent="0.25">
      <c r="A33" s="42">
        <f t="shared" si="2"/>
        <v>15</v>
      </c>
      <c r="B33" s="108"/>
      <c r="C33" s="108"/>
      <c r="D33" s="108"/>
      <c r="E33" s="108"/>
      <c r="F33" s="100"/>
      <c r="G33" s="62"/>
      <c r="H33" s="63"/>
      <c r="I33" s="108"/>
      <c r="J33" s="108"/>
      <c r="K33" s="108"/>
      <c r="L33" s="111"/>
      <c r="M33" s="108"/>
      <c r="N33" s="108"/>
      <c r="O33" s="107"/>
      <c r="P33" s="45"/>
      <c r="Q33" s="45"/>
      <c r="R33" s="100"/>
      <c r="S33" s="100"/>
      <c r="T33" s="108"/>
      <c r="U33" s="108"/>
      <c r="V33" s="108"/>
      <c r="W33" s="108"/>
      <c r="X33" s="100"/>
      <c r="Y33" s="108"/>
      <c r="Z33" s="108"/>
      <c r="AA33" s="108"/>
      <c r="AB33" s="109" t="str">
        <f>IF(Y33&lt;&gt;"", VLOOKUP(Y33, CBH_Taxonomies!C:D, 2, 0), "")</f>
        <v/>
      </c>
      <c r="AC33" s="109"/>
      <c r="AD33" s="109"/>
      <c r="AE33" s="109"/>
      <c r="AF33" s="109"/>
      <c r="AG33" s="102" t="str" cm="1">
        <f t="array" ref="AG33">_xlfn.TEXTJOIN(", ", TRUE, _xlfn.UNIQUE(IF(Sheet2!$A$2:$A$888 = LOAP!Y33, Sheet2!$B$2:$B$888, "")))</f>
        <v/>
      </c>
      <c r="AH33" s="102" t="str" cm="1">
        <f t="array" ref="AH33">_xlfn.TEXTJOIN(", ", TRUE, _xlfn.UNIQUE(IF(Sheet2!$A$2:$A$888 = LOAP!Y33, Sheet2!$C$2:$C$888, "")))</f>
        <v/>
      </c>
      <c r="AI33" s="100"/>
      <c r="AJ33" s="100"/>
      <c r="AK33" s="100"/>
      <c r="AL33" s="100" t="str">
        <f t="shared" si="1"/>
        <v xml:space="preserve"> </v>
      </c>
      <c r="AM33" s="108"/>
      <c r="AN33" s="108"/>
      <c r="AO33" s="108"/>
      <c r="AP33" s="108"/>
      <c r="AQ33" s="100"/>
      <c r="AR33" s="108"/>
      <c r="AS33" s="108"/>
      <c r="AT33" s="108"/>
      <c r="AU33" s="122"/>
    </row>
    <row r="34" spans="1:47" ht="15" customHeight="1" x14ac:dyDescent="0.25">
      <c r="A34" s="42">
        <f t="shared" si="2"/>
        <v>16</v>
      </c>
      <c r="B34" s="108"/>
      <c r="C34" s="108"/>
      <c r="D34" s="108"/>
      <c r="E34" s="108"/>
      <c r="F34" s="100"/>
      <c r="G34" s="62"/>
      <c r="H34" s="63"/>
      <c r="I34" s="108"/>
      <c r="J34" s="108"/>
      <c r="K34" s="108"/>
      <c r="L34" s="111"/>
      <c r="M34" s="108"/>
      <c r="N34" s="108"/>
      <c r="O34" s="107"/>
      <c r="P34" s="45"/>
      <c r="Q34" s="45"/>
      <c r="R34" s="100"/>
      <c r="S34" s="100"/>
      <c r="T34" s="108"/>
      <c r="U34" s="108"/>
      <c r="V34" s="108"/>
      <c r="W34" s="108"/>
      <c r="X34" s="100"/>
      <c r="Y34" s="108"/>
      <c r="Z34" s="108"/>
      <c r="AA34" s="108"/>
      <c r="AB34" s="109" t="str">
        <f>IF(Y34&lt;&gt;"", VLOOKUP(Y34, CBH_Taxonomies!C:D, 2, 0), "")</f>
        <v/>
      </c>
      <c r="AC34" s="109"/>
      <c r="AD34" s="109"/>
      <c r="AE34" s="109"/>
      <c r="AF34" s="109"/>
      <c r="AG34" s="102" t="str" cm="1">
        <f t="array" ref="AG34">_xlfn.TEXTJOIN(", ", TRUE, _xlfn.UNIQUE(IF(Sheet2!$A$2:$A$888 = LOAP!Y34, Sheet2!$B$2:$B$888, "")))</f>
        <v/>
      </c>
      <c r="AH34" s="102" t="str" cm="1">
        <f t="array" ref="AH34">_xlfn.TEXTJOIN(", ", TRUE, _xlfn.UNIQUE(IF(Sheet2!$A$2:$A$888 = LOAP!Y34, Sheet2!$C$2:$C$888, "")))</f>
        <v/>
      </c>
      <c r="AI34" s="100"/>
      <c r="AJ34" s="100"/>
      <c r="AK34" s="100"/>
      <c r="AL34" s="100" t="str">
        <f t="shared" si="1"/>
        <v xml:space="preserve"> </v>
      </c>
      <c r="AM34" s="108"/>
      <c r="AN34" s="108"/>
      <c r="AO34" s="108"/>
      <c r="AP34" s="108"/>
      <c r="AQ34" s="100"/>
      <c r="AR34" s="108"/>
      <c r="AS34" s="108"/>
      <c r="AT34" s="108"/>
      <c r="AU34" s="122"/>
    </row>
    <row r="35" spans="1:47" ht="15" customHeight="1" x14ac:dyDescent="0.25">
      <c r="A35" s="42">
        <f t="shared" si="2"/>
        <v>17</v>
      </c>
      <c r="B35" s="108"/>
      <c r="C35" s="108"/>
      <c r="D35" s="108"/>
      <c r="E35" s="108"/>
      <c r="F35" s="100"/>
      <c r="G35" s="62"/>
      <c r="H35" s="63"/>
      <c r="I35" s="108"/>
      <c r="J35" s="108"/>
      <c r="K35" s="108"/>
      <c r="L35" s="111"/>
      <c r="M35" s="108"/>
      <c r="N35" s="108"/>
      <c r="O35" s="107"/>
      <c r="P35" s="45"/>
      <c r="Q35" s="45"/>
      <c r="R35" s="100"/>
      <c r="S35" s="100"/>
      <c r="T35" s="108"/>
      <c r="U35" s="108"/>
      <c r="V35" s="108"/>
      <c r="W35" s="108"/>
      <c r="X35" s="100"/>
      <c r="Y35" s="108"/>
      <c r="Z35" s="108"/>
      <c r="AA35" s="108"/>
      <c r="AB35" s="109" t="str">
        <f>IF(Y35&lt;&gt;"", VLOOKUP(Y35, CBH_Taxonomies!C:D, 2, 0), "")</f>
        <v/>
      </c>
      <c r="AC35" s="109"/>
      <c r="AD35" s="109"/>
      <c r="AE35" s="109"/>
      <c r="AF35" s="109"/>
      <c r="AG35" s="102" t="str" cm="1">
        <f t="array" ref="AG35">_xlfn.TEXTJOIN(", ", TRUE, _xlfn.UNIQUE(IF(Sheet2!$A$2:$A$888 = LOAP!Y35, Sheet2!$B$2:$B$888, "")))</f>
        <v/>
      </c>
      <c r="AH35" s="102" t="str" cm="1">
        <f t="array" ref="AH35">_xlfn.TEXTJOIN(", ", TRUE, _xlfn.UNIQUE(IF(Sheet2!$A$2:$A$888 = LOAP!Y35, Sheet2!$C$2:$C$888, "")))</f>
        <v/>
      </c>
      <c r="AI35" s="100"/>
      <c r="AJ35" s="100"/>
      <c r="AK35" s="100"/>
      <c r="AL35" s="100" t="str">
        <f t="shared" si="1"/>
        <v xml:space="preserve"> </v>
      </c>
      <c r="AM35" s="108"/>
      <c r="AN35" s="108"/>
      <c r="AO35" s="108"/>
      <c r="AP35" s="108"/>
      <c r="AQ35" s="100"/>
      <c r="AR35" s="108"/>
      <c r="AS35" s="108"/>
      <c r="AT35" s="108"/>
      <c r="AU35" s="122"/>
    </row>
    <row r="36" spans="1:47" ht="15" customHeight="1" x14ac:dyDescent="0.25">
      <c r="A36" s="42">
        <f t="shared" si="2"/>
        <v>18</v>
      </c>
      <c r="B36" s="108"/>
      <c r="C36" s="108"/>
      <c r="D36" s="108"/>
      <c r="E36" s="108"/>
      <c r="F36" s="100"/>
      <c r="G36" s="62"/>
      <c r="H36" s="63"/>
      <c r="I36" s="108"/>
      <c r="J36" s="108"/>
      <c r="K36" s="108"/>
      <c r="L36" s="111"/>
      <c r="M36" s="108"/>
      <c r="N36" s="108"/>
      <c r="O36" s="107"/>
      <c r="P36" s="45"/>
      <c r="Q36" s="45"/>
      <c r="R36" s="100"/>
      <c r="S36" s="100"/>
      <c r="T36" s="108"/>
      <c r="U36" s="108"/>
      <c r="V36" s="108"/>
      <c r="W36" s="108"/>
      <c r="X36" s="100"/>
      <c r="Y36" s="108"/>
      <c r="Z36" s="108"/>
      <c r="AA36" s="108"/>
      <c r="AB36" s="109" t="str">
        <f>IF(Y36&lt;&gt;"", VLOOKUP(Y36, CBH_Taxonomies!C:D, 2, 0), "")</f>
        <v/>
      </c>
      <c r="AC36" s="109"/>
      <c r="AD36" s="109"/>
      <c r="AE36" s="109"/>
      <c r="AF36" s="109"/>
      <c r="AG36" s="102" t="str" cm="1">
        <f t="array" ref="AG36">_xlfn.TEXTJOIN(", ", TRUE, _xlfn.UNIQUE(IF(Sheet2!$A$2:$A$888 = LOAP!Y36, Sheet2!$B$2:$B$888, "")))</f>
        <v/>
      </c>
      <c r="AH36" s="102" t="str" cm="1">
        <f t="array" ref="AH36">_xlfn.TEXTJOIN(", ", TRUE, _xlfn.UNIQUE(IF(Sheet2!$A$2:$A$888 = LOAP!Y36, Sheet2!$C$2:$C$888, "")))</f>
        <v/>
      </c>
      <c r="AI36" s="100"/>
      <c r="AJ36" s="100"/>
      <c r="AK36" s="100"/>
      <c r="AL36" s="100" t="str">
        <f t="shared" si="1"/>
        <v xml:space="preserve"> </v>
      </c>
      <c r="AM36" s="108"/>
      <c r="AN36" s="108"/>
      <c r="AO36" s="108"/>
      <c r="AP36" s="108"/>
      <c r="AQ36" s="100"/>
      <c r="AR36" s="108"/>
      <c r="AS36" s="108"/>
      <c r="AT36" s="108"/>
      <c r="AU36" s="122"/>
    </row>
    <row r="37" spans="1:47" ht="15" customHeight="1" x14ac:dyDescent="0.25">
      <c r="A37" s="42">
        <f t="shared" si="2"/>
        <v>19</v>
      </c>
      <c r="B37" s="108"/>
      <c r="C37" s="108"/>
      <c r="D37" s="108"/>
      <c r="E37" s="108"/>
      <c r="F37" s="100"/>
      <c r="G37" s="62"/>
      <c r="H37" s="63"/>
      <c r="I37" s="108"/>
      <c r="J37" s="108"/>
      <c r="K37" s="108"/>
      <c r="L37" s="111"/>
      <c r="M37" s="192"/>
      <c r="N37" s="192"/>
      <c r="O37" s="107"/>
      <c r="P37" s="45"/>
      <c r="Q37" s="45"/>
      <c r="R37" s="100"/>
      <c r="S37" s="100"/>
      <c r="T37" s="108"/>
      <c r="U37" s="108"/>
      <c r="V37" s="108"/>
      <c r="W37" s="108"/>
      <c r="X37" s="100"/>
      <c r="Y37" s="108"/>
      <c r="Z37" s="108"/>
      <c r="AA37" s="108"/>
      <c r="AB37" s="109" t="str">
        <f>IF(Y37&lt;&gt;"", VLOOKUP(Y37, CBH_Taxonomies!C:D, 2, 0), "")</f>
        <v/>
      </c>
      <c r="AC37" s="109"/>
      <c r="AD37" s="109"/>
      <c r="AE37" s="109"/>
      <c r="AF37" s="109"/>
      <c r="AG37" s="102" t="str" cm="1">
        <f t="array" ref="AG37">_xlfn.TEXTJOIN(", ", TRUE, _xlfn.UNIQUE(IF(Sheet2!$A$2:$A$888 = LOAP!Y37, Sheet2!$B$2:$B$888, "")))</f>
        <v/>
      </c>
      <c r="AH37" s="102" t="str" cm="1">
        <f t="array" ref="AH37">_xlfn.TEXTJOIN(", ", TRUE, _xlfn.UNIQUE(IF(Sheet2!$A$2:$A$888 = LOAP!Y37, Sheet2!$C$2:$C$888, "")))</f>
        <v/>
      </c>
      <c r="AI37" s="100"/>
      <c r="AJ37" s="100"/>
      <c r="AK37" s="100"/>
      <c r="AL37" s="100" t="str">
        <f t="shared" si="1"/>
        <v xml:space="preserve"> </v>
      </c>
      <c r="AM37" s="108"/>
      <c r="AN37" s="108"/>
      <c r="AO37" s="108"/>
      <c r="AP37" s="108"/>
      <c r="AQ37" s="100"/>
      <c r="AR37" s="108"/>
      <c r="AS37" s="108"/>
      <c r="AT37" s="108"/>
      <c r="AU37" s="122"/>
    </row>
    <row r="38" spans="1:47" ht="15" customHeight="1" x14ac:dyDescent="0.25">
      <c r="A38" s="42">
        <f t="shared" si="2"/>
        <v>20</v>
      </c>
      <c r="B38" s="108"/>
      <c r="C38" s="108"/>
      <c r="D38" s="108"/>
      <c r="E38" s="108"/>
      <c r="F38" s="100"/>
      <c r="G38" s="62"/>
      <c r="H38" s="63"/>
      <c r="I38" s="108"/>
      <c r="J38" s="108"/>
      <c r="K38" s="108"/>
      <c r="L38" s="111"/>
      <c r="M38" s="108"/>
      <c r="N38" s="108"/>
      <c r="O38" s="107"/>
      <c r="P38" s="45"/>
      <c r="Q38" s="45"/>
      <c r="R38" s="100"/>
      <c r="S38" s="100"/>
      <c r="T38" s="108"/>
      <c r="U38" s="108"/>
      <c r="V38" s="108"/>
      <c r="W38" s="108"/>
      <c r="X38" s="100"/>
      <c r="Y38" s="108"/>
      <c r="Z38" s="108"/>
      <c r="AA38" s="108"/>
      <c r="AB38" s="109" t="str">
        <f>IF(Y38&lt;&gt;"", VLOOKUP(Y38, CBH_Taxonomies!C:D, 2, 0), "")</f>
        <v/>
      </c>
      <c r="AC38" s="109"/>
      <c r="AD38" s="109"/>
      <c r="AE38" s="109"/>
      <c r="AF38" s="109"/>
      <c r="AG38" s="102" t="str" cm="1">
        <f t="array" ref="AG38">_xlfn.TEXTJOIN(", ", TRUE, _xlfn.UNIQUE(IF(Sheet2!$A$2:$A$888 = LOAP!Y38, Sheet2!$B$2:$B$888, "")))</f>
        <v/>
      </c>
      <c r="AH38" s="102" t="str" cm="1">
        <f t="array" ref="AH38">_xlfn.TEXTJOIN(", ", TRUE, _xlfn.UNIQUE(IF(Sheet2!$A$2:$A$888 = LOAP!Y38, Sheet2!$C$2:$C$888, "")))</f>
        <v/>
      </c>
      <c r="AI38" s="100"/>
      <c r="AJ38" s="100"/>
      <c r="AK38" s="100"/>
      <c r="AL38" s="100" t="str">
        <f t="shared" si="1"/>
        <v xml:space="preserve"> </v>
      </c>
      <c r="AM38" s="108"/>
      <c r="AN38" s="108"/>
      <c r="AO38" s="108"/>
      <c r="AP38" s="108"/>
      <c r="AQ38" s="100"/>
      <c r="AR38" s="108"/>
      <c r="AS38" s="108"/>
      <c r="AT38" s="108"/>
      <c r="AU38" s="122"/>
    </row>
    <row r="39" spans="1:47" ht="15" customHeight="1" x14ac:dyDescent="0.25">
      <c r="A39" s="42">
        <f t="shared" si="2"/>
        <v>21</v>
      </c>
      <c r="B39" s="108"/>
      <c r="C39" s="108"/>
      <c r="D39" s="108"/>
      <c r="E39" s="108"/>
      <c r="F39" s="100"/>
      <c r="G39" s="62"/>
      <c r="H39" s="63"/>
      <c r="I39" s="108"/>
      <c r="J39" s="108"/>
      <c r="K39" s="108"/>
      <c r="L39" s="111"/>
      <c r="M39" s="108"/>
      <c r="N39" s="108"/>
      <c r="O39" s="107"/>
      <c r="P39" s="45"/>
      <c r="Q39" s="45"/>
      <c r="R39" s="100"/>
      <c r="S39" s="100"/>
      <c r="T39" s="108"/>
      <c r="U39" s="108"/>
      <c r="V39" s="108"/>
      <c r="W39" s="108"/>
      <c r="X39" s="100"/>
      <c r="Y39" s="108"/>
      <c r="Z39" s="108"/>
      <c r="AA39" s="108"/>
      <c r="AB39" s="109" t="str">
        <f>IF(Y39&lt;&gt;"", VLOOKUP(Y39, CBH_Taxonomies!C:D, 2, 0), "")</f>
        <v/>
      </c>
      <c r="AC39" s="109"/>
      <c r="AD39" s="109"/>
      <c r="AE39" s="109"/>
      <c r="AF39" s="109"/>
      <c r="AG39" s="102" t="str" cm="1">
        <f t="array" ref="AG39">_xlfn.TEXTJOIN(", ", TRUE, _xlfn.UNIQUE(IF(Sheet2!$A$2:$A$888 = LOAP!Y39, Sheet2!$B$2:$B$888, "")))</f>
        <v/>
      </c>
      <c r="AH39" s="102" t="str" cm="1">
        <f t="array" ref="AH39">_xlfn.TEXTJOIN(", ", TRUE, _xlfn.UNIQUE(IF(Sheet2!$A$2:$A$888 = LOAP!Y39, Sheet2!$C$2:$C$888, "")))</f>
        <v/>
      </c>
      <c r="AI39" s="100"/>
      <c r="AJ39" s="100"/>
      <c r="AK39" s="100"/>
      <c r="AL39" s="100" t="str">
        <f t="shared" si="1"/>
        <v xml:space="preserve"> </v>
      </c>
      <c r="AM39" s="108"/>
      <c r="AN39" s="108"/>
      <c r="AO39" s="108"/>
      <c r="AP39" s="108"/>
      <c r="AQ39" s="100"/>
      <c r="AR39" s="108"/>
      <c r="AS39" s="108"/>
      <c r="AT39" s="108"/>
      <c r="AU39" s="122"/>
    </row>
    <row r="40" spans="1:47" ht="15" customHeight="1" x14ac:dyDescent="0.25">
      <c r="A40" s="42">
        <f t="shared" si="2"/>
        <v>22</v>
      </c>
      <c r="B40" s="108"/>
      <c r="C40" s="108"/>
      <c r="D40" s="108"/>
      <c r="E40" s="108"/>
      <c r="F40" s="100"/>
      <c r="G40" s="62"/>
      <c r="H40" s="63"/>
      <c r="I40" s="108"/>
      <c r="J40" s="108"/>
      <c r="K40" s="108"/>
      <c r="L40" s="111"/>
      <c r="M40" s="108"/>
      <c r="N40" s="108"/>
      <c r="O40" s="107"/>
      <c r="P40" s="45"/>
      <c r="Q40" s="45"/>
      <c r="R40" s="100"/>
      <c r="S40" s="100"/>
      <c r="T40" s="108"/>
      <c r="U40" s="108"/>
      <c r="V40" s="108"/>
      <c r="W40" s="108"/>
      <c r="X40" s="100"/>
      <c r="Y40" s="108"/>
      <c r="Z40" s="108"/>
      <c r="AA40" s="108"/>
      <c r="AB40" s="109" t="str">
        <f>IF(Y40&lt;&gt;"", VLOOKUP(Y40, CBH_Taxonomies!C:D, 2, 0), "")</f>
        <v/>
      </c>
      <c r="AC40" s="109"/>
      <c r="AD40" s="109"/>
      <c r="AE40" s="109"/>
      <c r="AF40" s="109"/>
      <c r="AG40" s="102" t="str" cm="1">
        <f t="array" ref="AG40">_xlfn.TEXTJOIN(", ", TRUE, _xlfn.UNIQUE(IF(Sheet2!$A$2:$A$888 = LOAP!Y40, Sheet2!$B$2:$B$888, "")))</f>
        <v/>
      </c>
      <c r="AH40" s="102" t="str" cm="1">
        <f t="array" ref="AH40">_xlfn.TEXTJOIN(", ", TRUE, _xlfn.UNIQUE(IF(Sheet2!$A$2:$A$888 = LOAP!Y40, Sheet2!$C$2:$C$888, "")))</f>
        <v/>
      </c>
      <c r="AI40" s="100"/>
      <c r="AJ40" s="100"/>
      <c r="AK40" s="100"/>
      <c r="AL40" s="100" t="str">
        <f t="shared" si="1"/>
        <v xml:space="preserve"> </v>
      </c>
      <c r="AM40" s="108"/>
      <c r="AN40" s="108"/>
      <c r="AO40" s="108"/>
      <c r="AP40" s="108"/>
      <c r="AQ40" s="100"/>
      <c r="AR40" s="108"/>
      <c r="AS40" s="108"/>
      <c r="AT40" s="108"/>
      <c r="AU40" s="122"/>
    </row>
    <row r="41" spans="1:47" ht="15" customHeight="1" x14ac:dyDescent="0.25">
      <c r="A41" s="42">
        <f t="shared" si="2"/>
        <v>23</v>
      </c>
      <c r="B41" s="108"/>
      <c r="C41" s="108"/>
      <c r="D41" s="108"/>
      <c r="E41" s="108"/>
      <c r="F41" s="100"/>
      <c r="G41" s="62"/>
      <c r="H41" s="63"/>
      <c r="I41" s="108"/>
      <c r="J41" s="108"/>
      <c r="K41" s="108"/>
      <c r="L41" s="111"/>
      <c r="M41" s="108"/>
      <c r="N41" s="108"/>
      <c r="O41" s="107"/>
      <c r="P41" s="45"/>
      <c r="Q41" s="45"/>
      <c r="R41" s="100"/>
      <c r="S41" s="100"/>
      <c r="T41" s="108"/>
      <c r="U41" s="108"/>
      <c r="V41" s="108"/>
      <c r="W41" s="108"/>
      <c r="X41" s="100"/>
      <c r="Y41" s="108"/>
      <c r="Z41" s="108"/>
      <c r="AA41" s="108"/>
      <c r="AB41" s="109" t="str">
        <f>IF(Y41&lt;&gt;"", VLOOKUP(Y41, CBH_Taxonomies!C:D, 2, 0), "")</f>
        <v/>
      </c>
      <c r="AC41" s="109"/>
      <c r="AD41" s="109"/>
      <c r="AE41" s="109"/>
      <c r="AF41" s="109"/>
      <c r="AG41" s="102" t="str" cm="1">
        <f t="array" ref="AG41">_xlfn.TEXTJOIN(", ", TRUE, _xlfn.UNIQUE(IF(Sheet2!$A$2:$A$888 = LOAP!Y41, Sheet2!$B$2:$B$888, "")))</f>
        <v/>
      </c>
      <c r="AH41" s="102" t="str" cm="1">
        <f t="array" ref="AH41">_xlfn.TEXTJOIN(", ", TRUE, _xlfn.UNIQUE(IF(Sheet2!$A$2:$A$888 = LOAP!Y41, Sheet2!$C$2:$C$888, "")))</f>
        <v/>
      </c>
      <c r="AI41" s="100"/>
      <c r="AJ41" s="100"/>
      <c r="AK41" s="100"/>
      <c r="AL41" s="100" t="str">
        <f t="shared" si="1"/>
        <v xml:space="preserve"> </v>
      </c>
      <c r="AM41" s="108"/>
      <c r="AN41" s="108"/>
      <c r="AO41" s="108"/>
      <c r="AP41" s="108"/>
      <c r="AQ41" s="100"/>
      <c r="AR41" s="108"/>
      <c r="AS41" s="108"/>
      <c r="AT41" s="108"/>
      <c r="AU41" s="122"/>
    </row>
    <row r="42" spans="1:47" ht="15" customHeight="1" x14ac:dyDescent="0.25">
      <c r="A42" s="42">
        <f t="shared" si="2"/>
        <v>24</v>
      </c>
      <c r="B42" s="108"/>
      <c r="C42" s="108"/>
      <c r="D42" s="108"/>
      <c r="E42" s="108"/>
      <c r="F42" s="100"/>
      <c r="G42" s="62"/>
      <c r="H42" s="63"/>
      <c r="I42" s="108"/>
      <c r="J42" s="108"/>
      <c r="K42" s="108"/>
      <c r="L42" s="111"/>
      <c r="M42" s="108"/>
      <c r="N42" s="108"/>
      <c r="O42" s="107"/>
      <c r="P42" s="45"/>
      <c r="Q42" s="45"/>
      <c r="R42" s="100"/>
      <c r="S42" s="100"/>
      <c r="T42" s="108"/>
      <c r="U42" s="108"/>
      <c r="V42" s="108"/>
      <c r="W42" s="108"/>
      <c r="X42" s="100"/>
      <c r="Y42" s="108"/>
      <c r="Z42" s="108"/>
      <c r="AA42" s="108"/>
      <c r="AB42" s="109" t="str">
        <f>IF(Y42&lt;&gt;"", VLOOKUP(Y42, CBH_Taxonomies!C:D, 2, 0), "")</f>
        <v/>
      </c>
      <c r="AC42" s="109"/>
      <c r="AD42" s="109"/>
      <c r="AE42" s="109"/>
      <c r="AF42" s="109"/>
      <c r="AG42" s="102" t="str" cm="1">
        <f t="array" ref="AG42">_xlfn.TEXTJOIN(", ", TRUE, _xlfn.UNIQUE(IF(Sheet2!$A$2:$A$888 = LOAP!Y42, Sheet2!$B$2:$B$888, "")))</f>
        <v/>
      </c>
      <c r="AH42" s="102" t="str" cm="1">
        <f t="array" ref="AH42">_xlfn.TEXTJOIN(", ", TRUE, _xlfn.UNIQUE(IF(Sheet2!$A$2:$A$888 = LOAP!Y42, Sheet2!$C$2:$C$888, "")))</f>
        <v/>
      </c>
      <c r="AI42" s="100"/>
      <c r="AJ42" s="100"/>
      <c r="AK42" s="100"/>
      <c r="AL42" s="100" t="str">
        <f t="shared" si="1"/>
        <v xml:space="preserve"> </v>
      </c>
      <c r="AM42" s="108"/>
      <c r="AN42" s="108"/>
      <c r="AO42" s="108"/>
      <c r="AP42" s="108"/>
      <c r="AQ42" s="100"/>
      <c r="AR42" s="108"/>
      <c r="AS42" s="108"/>
      <c r="AT42" s="108"/>
      <c r="AU42" s="122"/>
    </row>
    <row r="43" spans="1:47" ht="15" customHeight="1" x14ac:dyDescent="0.25">
      <c r="A43" s="42">
        <f t="shared" si="2"/>
        <v>25</v>
      </c>
      <c r="B43" s="108"/>
      <c r="C43" s="108"/>
      <c r="D43" s="108"/>
      <c r="E43" s="108"/>
      <c r="F43" s="100"/>
      <c r="G43" s="62"/>
      <c r="H43" s="63"/>
      <c r="I43" s="108"/>
      <c r="J43" s="108"/>
      <c r="K43" s="108"/>
      <c r="L43" s="111"/>
      <c r="M43" s="108"/>
      <c r="N43" s="108"/>
      <c r="O43" s="107"/>
      <c r="P43" s="45"/>
      <c r="Q43" s="45"/>
      <c r="R43" s="100"/>
      <c r="S43" s="100"/>
      <c r="T43" s="108"/>
      <c r="U43" s="108"/>
      <c r="V43" s="108"/>
      <c r="W43" s="108"/>
      <c r="X43" s="100"/>
      <c r="Y43" s="108"/>
      <c r="Z43" s="108"/>
      <c r="AA43" s="108"/>
      <c r="AB43" s="109" t="str">
        <f>IF(Y43&lt;&gt;"", VLOOKUP(Y43, CBH_Taxonomies!C:D, 2, 0), "")</f>
        <v/>
      </c>
      <c r="AC43" s="109"/>
      <c r="AD43" s="109"/>
      <c r="AE43" s="109"/>
      <c r="AF43" s="109"/>
      <c r="AG43" s="102" t="str" cm="1">
        <f t="array" ref="AG43">_xlfn.TEXTJOIN(", ", TRUE, _xlfn.UNIQUE(IF(Sheet2!$A$2:$A$888 = LOAP!Y43, Sheet2!$B$2:$B$888, "")))</f>
        <v/>
      </c>
      <c r="AH43" s="102" t="str" cm="1">
        <f t="array" ref="AH43">_xlfn.TEXTJOIN(", ", TRUE, _xlfn.UNIQUE(IF(Sheet2!$A$2:$A$888 = LOAP!Y43, Sheet2!$C$2:$C$888, "")))</f>
        <v/>
      </c>
      <c r="AI43" s="100"/>
      <c r="AJ43" s="100"/>
      <c r="AK43" s="100"/>
      <c r="AL43" s="100" t="str">
        <f t="shared" si="1"/>
        <v xml:space="preserve"> </v>
      </c>
      <c r="AM43" s="108"/>
      <c r="AN43" s="108"/>
      <c r="AO43" s="108"/>
      <c r="AP43" s="108"/>
      <c r="AQ43" s="100"/>
      <c r="AR43" s="108"/>
      <c r="AS43" s="108"/>
      <c r="AT43" s="108"/>
      <c r="AU43" s="122"/>
    </row>
    <row r="44" spans="1:47" ht="15" customHeight="1" x14ac:dyDescent="0.25">
      <c r="A44" s="42">
        <f t="shared" si="2"/>
        <v>26</v>
      </c>
      <c r="B44" s="108"/>
      <c r="C44" s="108"/>
      <c r="D44" s="108"/>
      <c r="E44" s="108"/>
      <c r="F44" s="100"/>
      <c r="G44" s="62"/>
      <c r="H44" s="63"/>
      <c r="I44" s="108"/>
      <c r="J44" s="108"/>
      <c r="K44" s="108"/>
      <c r="L44" s="111"/>
      <c r="M44" s="108"/>
      <c r="N44" s="108"/>
      <c r="O44" s="107"/>
      <c r="P44" s="45"/>
      <c r="Q44" s="45"/>
      <c r="R44" s="100"/>
      <c r="S44" s="100"/>
      <c r="T44" s="108"/>
      <c r="U44" s="108"/>
      <c r="V44" s="108"/>
      <c r="W44" s="108"/>
      <c r="X44" s="100"/>
      <c r="Y44" s="108"/>
      <c r="Z44" s="108"/>
      <c r="AA44" s="108"/>
      <c r="AB44" s="109" t="str">
        <f>IF(Y44&lt;&gt;"", VLOOKUP(Y44, CBH_Taxonomies!C:D, 2, 0), "")</f>
        <v/>
      </c>
      <c r="AC44" s="109"/>
      <c r="AD44" s="109"/>
      <c r="AE44" s="109"/>
      <c r="AF44" s="109"/>
      <c r="AG44" s="102" t="str" cm="1">
        <f t="array" ref="AG44">_xlfn.TEXTJOIN(", ", TRUE, _xlfn.UNIQUE(IF(Sheet2!$A$2:$A$888 = LOAP!Y44, Sheet2!$B$2:$B$888, "")))</f>
        <v/>
      </c>
      <c r="AH44" s="102" t="str" cm="1">
        <f t="array" ref="AH44">_xlfn.TEXTJOIN(", ", TRUE, _xlfn.UNIQUE(IF(Sheet2!$A$2:$A$888 = LOAP!Y44, Sheet2!$C$2:$C$888, "")))</f>
        <v/>
      </c>
      <c r="AI44" s="100"/>
      <c r="AJ44" s="100"/>
      <c r="AK44" s="100"/>
      <c r="AL44" s="100" t="str">
        <f t="shared" si="1"/>
        <v xml:space="preserve"> </v>
      </c>
      <c r="AM44" s="108"/>
      <c r="AN44" s="108"/>
      <c r="AO44" s="108"/>
      <c r="AP44" s="108"/>
      <c r="AQ44" s="100"/>
      <c r="AR44" s="108"/>
      <c r="AS44" s="108"/>
      <c r="AT44" s="108"/>
      <c r="AU44" s="122"/>
    </row>
    <row r="45" spans="1:47" ht="15" customHeight="1" x14ac:dyDescent="0.25">
      <c r="A45" s="42">
        <f t="shared" si="2"/>
        <v>27</v>
      </c>
      <c r="B45" s="108"/>
      <c r="C45" s="108"/>
      <c r="D45" s="108"/>
      <c r="E45" s="108"/>
      <c r="F45" s="100"/>
      <c r="G45" s="62"/>
      <c r="H45" s="63"/>
      <c r="I45" s="108"/>
      <c r="J45" s="108"/>
      <c r="K45" s="108"/>
      <c r="L45" s="111"/>
      <c r="M45" s="108"/>
      <c r="N45" s="108"/>
      <c r="O45" s="107"/>
      <c r="P45" s="45"/>
      <c r="Q45" s="45"/>
      <c r="R45" s="100"/>
      <c r="S45" s="100"/>
      <c r="T45" s="108"/>
      <c r="U45" s="108"/>
      <c r="V45" s="108"/>
      <c r="W45" s="108"/>
      <c r="X45" s="100"/>
      <c r="Y45" s="108"/>
      <c r="Z45" s="108"/>
      <c r="AA45" s="108"/>
      <c r="AB45" s="109" t="str">
        <f>IF(Y45&lt;&gt;"", VLOOKUP(Y45, CBH_Taxonomies!C:D, 2, 0), "")</f>
        <v/>
      </c>
      <c r="AC45" s="109"/>
      <c r="AD45" s="109"/>
      <c r="AE45" s="109"/>
      <c r="AF45" s="109"/>
      <c r="AG45" s="102" t="str" cm="1">
        <f t="array" ref="AG45">_xlfn.TEXTJOIN(", ", TRUE, _xlfn.UNIQUE(IF(Sheet2!$A$2:$A$888 = LOAP!Y45, Sheet2!$B$2:$B$888, "")))</f>
        <v/>
      </c>
      <c r="AH45" s="102" t="str" cm="1">
        <f t="array" ref="AH45">_xlfn.TEXTJOIN(", ", TRUE, _xlfn.UNIQUE(IF(Sheet2!$A$2:$A$888 = LOAP!Y45, Sheet2!$C$2:$C$888, "")))</f>
        <v/>
      </c>
      <c r="AI45" s="100"/>
      <c r="AJ45" s="100"/>
      <c r="AK45" s="100"/>
      <c r="AL45" s="100" t="str">
        <f t="shared" si="1"/>
        <v xml:space="preserve"> </v>
      </c>
      <c r="AM45" s="108"/>
      <c r="AN45" s="108"/>
      <c r="AO45" s="108"/>
      <c r="AP45" s="108"/>
      <c r="AQ45" s="100"/>
      <c r="AR45" s="108"/>
      <c r="AS45" s="108"/>
      <c r="AT45" s="108"/>
      <c r="AU45" s="122"/>
    </row>
    <row r="46" spans="1:47" ht="15" customHeight="1" x14ac:dyDescent="0.25">
      <c r="A46" s="42">
        <f t="shared" si="2"/>
        <v>28</v>
      </c>
      <c r="B46" s="108"/>
      <c r="C46" s="108"/>
      <c r="D46" s="108"/>
      <c r="E46" s="108"/>
      <c r="F46" s="100"/>
      <c r="G46" s="62"/>
      <c r="H46" s="63"/>
      <c r="I46" s="108"/>
      <c r="J46" s="108"/>
      <c r="K46" s="108"/>
      <c r="L46" s="111"/>
      <c r="M46" s="108"/>
      <c r="N46" s="108"/>
      <c r="O46" s="107"/>
      <c r="P46" s="45"/>
      <c r="Q46" s="45"/>
      <c r="R46" s="100"/>
      <c r="S46" s="100"/>
      <c r="T46" s="108"/>
      <c r="U46" s="108"/>
      <c r="V46" s="108"/>
      <c r="W46" s="108"/>
      <c r="X46" s="100"/>
      <c r="Y46" s="108"/>
      <c r="Z46" s="108"/>
      <c r="AA46" s="108"/>
      <c r="AB46" s="109" t="str">
        <f>IF(Y46&lt;&gt;"", VLOOKUP(Y46, CBH_Taxonomies!C:D, 2, 0), "")</f>
        <v/>
      </c>
      <c r="AC46" s="109"/>
      <c r="AD46" s="109"/>
      <c r="AE46" s="109"/>
      <c r="AF46" s="109"/>
      <c r="AG46" s="102" t="str" cm="1">
        <f t="array" ref="AG46">_xlfn.TEXTJOIN(", ", TRUE, _xlfn.UNIQUE(IF(Sheet2!$A$2:$A$888 = LOAP!Y46, Sheet2!$B$2:$B$888, "")))</f>
        <v/>
      </c>
      <c r="AH46" s="102" t="str" cm="1">
        <f t="array" ref="AH46">_xlfn.TEXTJOIN(", ", TRUE, _xlfn.UNIQUE(IF(Sheet2!$A$2:$A$888 = LOAP!Y46, Sheet2!$C$2:$C$888, "")))</f>
        <v/>
      </c>
      <c r="AI46" s="100"/>
      <c r="AJ46" s="100"/>
      <c r="AK46" s="100"/>
      <c r="AL46" s="100" t="str">
        <f t="shared" si="1"/>
        <v xml:space="preserve"> </v>
      </c>
      <c r="AM46" s="108"/>
      <c r="AN46" s="108"/>
      <c r="AO46" s="108"/>
      <c r="AP46" s="108"/>
      <c r="AQ46" s="100"/>
      <c r="AR46" s="108"/>
      <c r="AS46" s="108"/>
      <c r="AT46" s="108"/>
      <c r="AU46" s="122"/>
    </row>
    <row r="47" spans="1:47" ht="15" customHeight="1" x14ac:dyDescent="0.25">
      <c r="A47" s="42">
        <f t="shared" si="2"/>
        <v>29</v>
      </c>
      <c r="B47" s="108"/>
      <c r="C47" s="108"/>
      <c r="D47" s="108"/>
      <c r="E47" s="108"/>
      <c r="F47" s="100"/>
      <c r="G47" s="62"/>
      <c r="H47" s="63"/>
      <c r="I47" s="108"/>
      <c r="J47" s="108"/>
      <c r="K47" s="108"/>
      <c r="L47" s="111"/>
      <c r="M47" s="108"/>
      <c r="N47" s="108"/>
      <c r="O47" s="107"/>
      <c r="P47" s="45"/>
      <c r="Q47" s="45"/>
      <c r="R47" s="100"/>
      <c r="S47" s="100"/>
      <c r="T47" s="108"/>
      <c r="U47" s="108"/>
      <c r="V47" s="108"/>
      <c r="W47" s="108"/>
      <c r="X47" s="100"/>
      <c r="Y47" s="108"/>
      <c r="Z47" s="108"/>
      <c r="AA47" s="108"/>
      <c r="AB47" s="109" t="str">
        <f>IF(Y47&lt;&gt;"", VLOOKUP(Y47, CBH_Taxonomies!C:D, 2, 0), "")</f>
        <v/>
      </c>
      <c r="AC47" s="109"/>
      <c r="AD47" s="109"/>
      <c r="AE47" s="109"/>
      <c r="AF47" s="109"/>
      <c r="AG47" s="102" t="str" cm="1">
        <f t="array" ref="AG47">_xlfn.TEXTJOIN(", ", TRUE, _xlfn.UNIQUE(IF(Sheet2!$A$2:$A$888 = LOAP!Y47, Sheet2!$B$2:$B$888, "")))</f>
        <v/>
      </c>
      <c r="AH47" s="102" t="str" cm="1">
        <f t="array" ref="AH47">_xlfn.TEXTJOIN(", ", TRUE, _xlfn.UNIQUE(IF(Sheet2!$A$2:$A$888 = LOAP!Y47, Sheet2!$C$2:$C$888, "")))</f>
        <v/>
      </c>
      <c r="AI47" s="100"/>
      <c r="AJ47" s="100"/>
      <c r="AK47" s="100"/>
      <c r="AL47" s="100" t="str">
        <f t="shared" si="1"/>
        <v xml:space="preserve"> </v>
      </c>
      <c r="AM47" s="108"/>
      <c r="AN47" s="108"/>
      <c r="AO47" s="108"/>
      <c r="AP47" s="108"/>
      <c r="AQ47" s="100"/>
      <c r="AR47" s="108"/>
      <c r="AS47" s="108"/>
      <c r="AT47" s="108"/>
      <c r="AU47" s="122"/>
    </row>
    <row r="48" spans="1:47" ht="15" customHeight="1" x14ac:dyDescent="0.25">
      <c r="A48" s="42">
        <f t="shared" si="2"/>
        <v>30</v>
      </c>
      <c r="B48" s="108"/>
      <c r="C48" s="108"/>
      <c r="D48" s="108"/>
      <c r="E48" s="108"/>
      <c r="F48" s="100"/>
      <c r="G48" s="62"/>
      <c r="H48" s="63"/>
      <c r="I48" s="108"/>
      <c r="J48" s="108"/>
      <c r="K48" s="108"/>
      <c r="L48" s="111"/>
      <c r="M48" s="108"/>
      <c r="N48" s="108"/>
      <c r="O48" s="107"/>
      <c r="P48" s="45"/>
      <c r="Q48" s="45"/>
      <c r="R48" s="100"/>
      <c r="S48" s="100"/>
      <c r="T48" s="108"/>
      <c r="U48" s="108"/>
      <c r="V48" s="108"/>
      <c r="W48" s="108"/>
      <c r="X48" s="100"/>
      <c r="Y48" s="108"/>
      <c r="Z48" s="108"/>
      <c r="AA48" s="108"/>
      <c r="AB48" s="109" t="str">
        <f>IF(Y48&lt;&gt;"", VLOOKUP(Y48, CBH_Taxonomies!C:D, 2, 0), "")</f>
        <v/>
      </c>
      <c r="AC48" s="109"/>
      <c r="AD48" s="109"/>
      <c r="AE48" s="109"/>
      <c r="AF48" s="109"/>
      <c r="AG48" s="102" t="str" cm="1">
        <f t="array" ref="AG48">_xlfn.TEXTJOIN(", ", TRUE, _xlfn.UNIQUE(IF(Sheet2!$A$2:$A$888 = LOAP!Y48, Sheet2!$B$2:$B$888, "")))</f>
        <v/>
      </c>
      <c r="AH48" s="102" t="str" cm="1">
        <f t="array" ref="AH48">_xlfn.TEXTJOIN(", ", TRUE, _xlfn.UNIQUE(IF(Sheet2!$A$2:$A$888 = LOAP!Y48, Sheet2!$C$2:$C$888, "")))</f>
        <v/>
      </c>
      <c r="AI48" s="100"/>
      <c r="AJ48" s="100"/>
      <c r="AK48" s="100"/>
      <c r="AL48" s="100" t="str">
        <f t="shared" si="1"/>
        <v xml:space="preserve"> </v>
      </c>
      <c r="AM48" s="108"/>
      <c r="AN48" s="108"/>
      <c r="AO48" s="108"/>
      <c r="AP48" s="108"/>
      <c r="AQ48" s="100"/>
      <c r="AR48" s="108"/>
      <c r="AS48" s="108"/>
      <c r="AT48" s="108"/>
      <c r="AU48" s="122"/>
    </row>
    <row r="49" spans="1:47" ht="15" customHeight="1" x14ac:dyDescent="0.25">
      <c r="A49" s="42">
        <f t="shared" si="2"/>
        <v>31</v>
      </c>
      <c r="B49" s="108"/>
      <c r="C49" s="108"/>
      <c r="D49" s="108"/>
      <c r="E49" s="108"/>
      <c r="F49" s="100"/>
      <c r="G49" s="62"/>
      <c r="H49" s="63"/>
      <c r="I49" s="108"/>
      <c r="J49" s="108"/>
      <c r="K49" s="108"/>
      <c r="L49" s="111"/>
      <c r="M49" s="108"/>
      <c r="N49" s="108"/>
      <c r="O49" s="107"/>
      <c r="P49" s="45"/>
      <c r="Q49" s="45"/>
      <c r="R49" s="100"/>
      <c r="S49" s="100"/>
      <c r="T49" s="108"/>
      <c r="U49" s="108"/>
      <c r="V49" s="108"/>
      <c r="W49" s="108"/>
      <c r="X49" s="100"/>
      <c r="Y49" s="108"/>
      <c r="Z49" s="108"/>
      <c r="AA49" s="108"/>
      <c r="AB49" s="109" t="str">
        <f>IF(Y49&lt;&gt;"", VLOOKUP(Y49, CBH_Taxonomies!C:D, 2, 0), "")</f>
        <v/>
      </c>
      <c r="AC49" s="109"/>
      <c r="AD49" s="109"/>
      <c r="AE49" s="109"/>
      <c r="AF49" s="109"/>
      <c r="AG49" s="102" t="str" cm="1">
        <f t="array" ref="AG49">_xlfn.TEXTJOIN(", ", TRUE, _xlfn.UNIQUE(IF(Sheet2!$A$2:$A$888 = LOAP!Y49, Sheet2!$B$2:$B$888, "")))</f>
        <v/>
      </c>
      <c r="AH49" s="102" t="str" cm="1">
        <f t="array" ref="AH49">_xlfn.TEXTJOIN(", ", TRUE, _xlfn.UNIQUE(IF(Sheet2!$A$2:$A$888 = LOAP!Y49, Sheet2!$C$2:$C$888, "")))</f>
        <v/>
      </c>
      <c r="AI49" s="100"/>
      <c r="AJ49" s="100"/>
      <c r="AK49" s="100"/>
      <c r="AL49" s="100" t="str">
        <f t="shared" si="1"/>
        <v xml:space="preserve"> </v>
      </c>
      <c r="AM49" s="108"/>
      <c r="AN49" s="108"/>
      <c r="AO49" s="108"/>
      <c r="AP49" s="108"/>
      <c r="AQ49" s="100"/>
      <c r="AR49" s="108"/>
      <c r="AS49" s="108"/>
      <c r="AT49" s="108"/>
      <c r="AU49" s="122"/>
    </row>
    <row r="50" spans="1:47" ht="15" customHeight="1" x14ac:dyDescent="0.25">
      <c r="A50" s="42">
        <f t="shared" si="2"/>
        <v>32</v>
      </c>
      <c r="B50" s="108"/>
      <c r="C50" s="108"/>
      <c r="D50" s="108"/>
      <c r="E50" s="108"/>
      <c r="F50" s="100"/>
      <c r="G50" s="62"/>
      <c r="H50" s="63"/>
      <c r="I50" s="108"/>
      <c r="J50" s="108"/>
      <c r="K50" s="108"/>
      <c r="L50" s="111"/>
      <c r="M50" s="108"/>
      <c r="N50" s="108"/>
      <c r="O50" s="107"/>
      <c r="P50" s="45"/>
      <c r="Q50" s="45"/>
      <c r="R50" s="100"/>
      <c r="S50" s="100"/>
      <c r="T50" s="108"/>
      <c r="U50" s="108"/>
      <c r="V50" s="108"/>
      <c r="W50" s="108"/>
      <c r="X50" s="100"/>
      <c r="Y50" s="108"/>
      <c r="Z50" s="108"/>
      <c r="AA50" s="108"/>
      <c r="AB50" s="109" t="str">
        <f>IF(Y50&lt;&gt;"", VLOOKUP(Y50, CBH_Taxonomies!C:D, 2, 0), "")</f>
        <v/>
      </c>
      <c r="AC50" s="109"/>
      <c r="AD50" s="109"/>
      <c r="AE50" s="109"/>
      <c r="AF50" s="109"/>
      <c r="AG50" s="102" t="str" cm="1">
        <f t="array" ref="AG50">_xlfn.TEXTJOIN(", ", TRUE, _xlfn.UNIQUE(IF(Sheet2!$A$2:$A$888 = LOAP!Y50, Sheet2!$B$2:$B$888, "")))</f>
        <v/>
      </c>
      <c r="AH50" s="102" t="str" cm="1">
        <f t="array" ref="AH50">_xlfn.TEXTJOIN(", ", TRUE, _xlfn.UNIQUE(IF(Sheet2!$A$2:$A$888 = LOAP!Y50, Sheet2!$C$2:$C$888, "")))</f>
        <v/>
      </c>
      <c r="AI50" s="100"/>
      <c r="AJ50" s="100"/>
      <c r="AK50" s="100"/>
      <c r="AL50" s="100" t="str">
        <f t="shared" si="1"/>
        <v xml:space="preserve"> </v>
      </c>
      <c r="AM50" s="108"/>
      <c r="AN50" s="108"/>
      <c r="AO50" s="108"/>
      <c r="AP50" s="108"/>
      <c r="AQ50" s="100"/>
      <c r="AR50" s="108"/>
      <c r="AS50" s="108"/>
      <c r="AT50" s="108"/>
      <c r="AU50" s="122"/>
    </row>
    <row r="51" spans="1:47" ht="15" customHeight="1" x14ac:dyDescent="0.25">
      <c r="A51" s="42">
        <f t="shared" si="2"/>
        <v>33</v>
      </c>
      <c r="B51" s="108"/>
      <c r="C51" s="108"/>
      <c r="D51" s="108"/>
      <c r="E51" s="108"/>
      <c r="F51" s="100"/>
      <c r="G51" s="62"/>
      <c r="H51" s="63"/>
      <c r="I51" s="108"/>
      <c r="J51" s="108"/>
      <c r="K51" s="108"/>
      <c r="L51" s="111"/>
      <c r="M51" s="108"/>
      <c r="N51" s="108"/>
      <c r="O51" s="107"/>
      <c r="P51" s="45"/>
      <c r="Q51" s="45"/>
      <c r="R51" s="100"/>
      <c r="S51" s="100"/>
      <c r="T51" s="108"/>
      <c r="U51" s="108"/>
      <c r="V51" s="108"/>
      <c r="W51" s="108"/>
      <c r="X51" s="100"/>
      <c r="Y51" s="108"/>
      <c r="Z51" s="108"/>
      <c r="AA51" s="108"/>
      <c r="AB51" s="109" t="str">
        <f>IF(Y51&lt;&gt;"", VLOOKUP(Y51, CBH_Taxonomies!C:D, 2, 0), "")</f>
        <v/>
      </c>
      <c r="AC51" s="109"/>
      <c r="AD51" s="109"/>
      <c r="AE51" s="109"/>
      <c r="AF51" s="109"/>
      <c r="AG51" s="102" t="str" cm="1">
        <f t="array" ref="AG51">_xlfn.TEXTJOIN(", ", TRUE, _xlfn.UNIQUE(IF(Sheet2!$A$2:$A$888 = LOAP!Y51, Sheet2!$B$2:$B$888, "")))</f>
        <v/>
      </c>
      <c r="AH51" s="102" t="str" cm="1">
        <f t="array" ref="AH51">_xlfn.TEXTJOIN(", ", TRUE, _xlfn.UNIQUE(IF(Sheet2!$A$2:$A$888 = LOAP!Y51, Sheet2!$C$2:$C$888, "")))</f>
        <v/>
      </c>
      <c r="AI51" s="100"/>
      <c r="AJ51" s="100"/>
      <c r="AK51" s="100"/>
      <c r="AL51" s="100" t="str">
        <f t="shared" si="1"/>
        <v xml:space="preserve"> </v>
      </c>
      <c r="AM51" s="108"/>
      <c r="AN51" s="108"/>
      <c r="AO51" s="108"/>
      <c r="AP51" s="108"/>
      <c r="AQ51" s="100"/>
      <c r="AR51" s="108"/>
      <c r="AS51" s="108"/>
      <c r="AT51" s="108"/>
      <c r="AU51" s="122"/>
    </row>
    <row r="52" spans="1:47" ht="15" customHeight="1" x14ac:dyDescent="0.25">
      <c r="A52" s="42">
        <f t="shared" si="2"/>
        <v>34</v>
      </c>
      <c r="B52" s="108"/>
      <c r="C52" s="108"/>
      <c r="D52" s="108"/>
      <c r="E52" s="108"/>
      <c r="F52" s="100"/>
      <c r="G52" s="62"/>
      <c r="H52" s="63"/>
      <c r="I52" s="108"/>
      <c r="J52" s="108"/>
      <c r="K52" s="108"/>
      <c r="L52" s="111"/>
      <c r="M52" s="108"/>
      <c r="N52" s="108"/>
      <c r="O52" s="107"/>
      <c r="P52" s="45"/>
      <c r="Q52" s="45"/>
      <c r="R52" s="100"/>
      <c r="S52" s="100"/>
      <c r="T52" s="108"/>
      <c r="U52" s="108"/>
      <c r="V52" s="108"/>
      <c r="W52" s="108"/>
      <c r="X52" s="100"/>
      <c r="Y52" s="108"/>
      <c r="Z52" s="108"/>
      <c r="AA52" s="108"/>
      <c r="AB52" s="109" t="str">
        <f>IF(Y52&lt;&gt;"", VLOOKUP(Y52, CBH_Taxonomies!C:D, 2, 0), "")</f>
        <v/>
      </c>
      <c r="AC52" s="109"/>
      <c r="AD52" s="109"/>
      <c r="AE52" s="109"/>
      <c r="AF52" s="109"/>
      <c r="AG52" s="102" t="str" cm="1">
        <f t="array" ref="AG52">_xlfn.TEXTJOIN(", ", TRUE, _xlfn.UNIQUE(IF(Sheet2!$A$2:$A$888 = LOAP!Y52, Sheet2!$B$2:$B$888, "")))</f>
        <v/>
      </c>
      <c r="AH52" s="102" t="str" cm="1">
        <f t="array" ref="AH52">_xlfn.TEXTJOIN(", ", TRUE, _xlfn.UNIQUE(IF(Sheet2!$A$2:$A$888 = LOAP!Y52, Sheet2!$C$2:$C$888, "")))</f>
        <v/>
      </c>
      <c r="AI52" s="100"/>
      <c r="AJ52" s="100"/>
      <c r="AK52" s="100"/>
      <c r="AL52" s="100" t="str">
        <f t="shared" si="1"/>
        <v xml:space="preserve"> </v>
      </c>
      <c r="AM52" s="108"/>
      <c r="AN52" s="108"/>
      <c r="AO52" s="108"/>
      <c r="AP52" s="108"/>
      <c r="AQ52" s="100"/>
      <c r="AR52" s="108"/>
      <c r="AS52" s="108"/>
      <c r="AT52" s="108"/>
      <c r="AU52" s="122"/>
    </row>
    <row r="53" spans="1:47" ht="15" customHeight="1" x14ac:dyDescent="0.25">
      <c r="A53" s="42">
        <f t="shared" si="2"/>
        <v>35</v>
      </c>
      <c r="B53" s="108"/>
      <c r="C53" s="108"/>
      <c r="D53" s="108"/>
      <c r="E53" s="108"/>
      <c r="F53" s="100"/>
      <c r="G53" s="62"/>
      <c r="H53" s="63"/>
      <c r="I53" s="108"/>
      <c r="J53" s="108"/>
      <c r="K53" s="108"/>
      <c r="L53" s="111"/>
      <c r="M53" s="108"/>
      <c r="N53" s="108"/>
      <c r="O53" s="107"/>
      <c r="P53" s="45"/>
      <c r="Q53" s="45"/>
      <c r="R53" s="100"/>
      <c r="S53" s="100"/>
      <c r="T53" s="108"/>
      <c r="U53" s="108"/>
      <c r="V53" s="108"/>
      <c r="W53" s="108"/>
      <c r="X53" s="100"/>
      <c r="Y53" s="108"/>
      <c r="Z53" s="108"/>
      <c r="AA53" s="108"/>
      <c r="AB53" s="109" t="str">
        <f>IF(Y53&lt;&gt;"", VLOOKUP(Y53, CBH_Taxonomies!C:D, 2, 0), "")</f>
        <v/>
      </c>
      <c r="AC53" s="109"/>
      <c r="AD53" s="109"/>
      <c r="AE53" s="109"/>
      <c r="AF53" s="109"/>
      <c r="AG53" s="102" t="str" cm="1">
        <f t="array" ref="AG53">_xlfn.TEXTJOIN(", ", TRUE, _xlfn.UNIQUE(IF(Sheet2!$A$2:$A$888 = LOAP!Y53, Sheet2!$B$2:$B$888, "")))</f>
        <v/>
      </c>
      <c r="AH53" s="102" t="str" cm="1">
        <f t="array" ref="AH53">_xlfn.TEXTJOIN(", ", TRUE, _xlfn.UNIQUE(IF(Sheet2!$A$2:$A$888 = LOAP!Y53, Sheet2!$C$2:$C$888, "")))</f>
        <v/>
      </c>
      <c r="AI53" s="100"/>
      <c r="AJ53" s="100"/>
      <c r="AK53" s="100"/>
      <c r="AL53" s="100" t="str">
        <f t="shared" si="1"/>
        <v xml:space="preserve"> </v>
      </c>
      <c r="AM53" s="108"/>
      <c r="AN53" s="108"/>
      <c r="AO53" s="108"/>
      <c r="AP53" s="108"/>
      <c r="AQ53" s="100"/>
      <c r="AR53" s="108"/>
      <c r="AS53" s="108"/>
      <c r="AT53" s="108"/>
      <c r="AU53" s="122"/>
    </row>
    <row r="54" spans="1:47" ht="15" customHeight="1" x14ac:dyDescent="0.25">
      <c r="A54" s="42">
        <f t="shared" si="2"/>
        <v>36</v>
      </c>
      <c r="B54" s="108"/>
      <c r="C54" s="108"/>
      <c r="D54" s="108"/>
      <c r="E54" s="108"/>
      <c r="F54" s="100"/>
      <c r="G54" s="62"/>
      <c r="H54" s="63"/>
      <c r="I54" s="108"/>
      <c r="J54" s="108"/>
      <c r="K54" s="108"/>
      <c r="L54" s="111"/>
      <c r="M54" s="108"/>
      <c r="N54" s="108"/>
      <c r="O54" s="107"/>
      <c r="P54" s="45"/>
      <c r="Q54" s="45"/>
      <c r="R54" s="100"/>
      <c r="S54" s="100"/>
      <c r="T54" s="108"/>
      <c r="U54" s="108"/>
      <c r="V54" s="108"/>
      <c r="W54" s="108"/>
      <c r="X54" s="100"/>
      <c r="Y54" s="108"/>
      <c r="Z54" s="108"/>
      <c r="AA54" s="108"/>
      <c r="AB54" s="109" t="str">
        <f>IF(Y54&lt;&gt;"", VLOOKUP(Y54, CBH_Taxonomies!C:D, 2, 0), "")</f>
        <v/>
      </c>
      <c r="AC54" s="109"/>
      <c r="AD54" s="109"/>
      <c r="AE54" s="109"/>
      <c r="AF54" s="109"/>
      <c r="AG54" s="102" t="str" cm="1">
        <f t="array" ref="AG54">_xlfn.TEXTJOIN(", ", TRUE, _xlfn.UNIQUE(IF(Sheet2!$A$2:$A$888 = LOAP!Y54, Sheet2!$B$2:$B$888, "")))</f>
        <v/>
      </c>
      <c r="AH54" s="102" t="str" cm="1">
        <f t="array" ref="AH54">_xlfn.TEXTJOIN(", ", TRUE, _xlfn.UNIQUE(IF(Sheet2!$A$2:$A$888 = LOAP!Y54, Sheet2!$C$2:$C$888, "")))</f>
        <v/>
      </c>
      <c r="AI54" s="100"/>
      <c r="AJ54" s="100"/>
      <c r="AK54" s="100"/>
      <c r="AL54" s="100" t="str">
        <f t="shared" si="1"/>
        <v xml:space="preserve"> </v>
      </c>
      <c r="AM54" s="108"/>
      <c r="AN54" s="108"/>
      <c r="AO54" s="108"/>
      <c r="AP54" s="108"/>
      <c r="AQ54" s="100"/>
      <c r="AR54" s="108"/>
      <c r="AS54" s="108"/>
      <c r="AT54" s="108"/>
      <c r="AU54" s="122"/>
    </row>
    <row r="55" spans="1:47" ht="15" customHeight="1" x14ac:dyDescent="0.25">
      <c r="A55" s="42">
        <f t="shared" si="2"/>
        <v>37</v>
      </c>
      <c r="B55" s="108"/>
      <c r="C55" s="108"/>
      <c r="D55" s="108"/>
      <c r="E55" s="108"/>
      <c r="F55" s="100"/>
      <c r="G55" s="62"/>
      <c r="H55" s="63"/>
      <c r="I55" s="108"/>
      <c r="J55" s="108"/>
      <c r="K55" s="108"/>
      <c r="L55" s="111"/>
      <c r="M55" s="108"/>
      <c r="N55" s="108"/>
      <c r="O55" s="107"/>
      <c r="P55" s="45"/>
      <c r="Q55" s="45"/>
      <c r="R55" s="100"/>
      <c r="S55" s="100"/>
      <c r="T55" s="108"/>
      <c r="U55" s="108"/>
      <c r="V55" s="108"/>
      <c r="W55" s="108"/>
      <c r="X55" s="100"/>
      <c r="Y55" s="108"/>
      <c r="Z55" s="108"/>
      <c r="AA55" s="108"/>
      <c r="AB55" s="109" t="str">
        <f>IF(Y55&lt;&gt;"", VLOOKUP(Y55, CBH_Taxonomies!C:D, 2, 0), "")</f>
        <v/>
      </c>
      <c r="AC55" s="109"/>
      <c r="AD55" s="109"/>
      <c r="AE55" s="109"/>
      <c r="AF55" s="109"/>
      <c r="AG55" s="102" t="str" cm="1">
        <f t="array" ref="AG55">_xlfn.TEXTJOIN(", ", TRUE, _xlfn.UNIQUE(IF(Sheet2!$A$2:$A$888 = LOAP!Y55, Sheet2!$B$2:$B$888, "")))</f>
        <v/>
      </c>
      <c r="AH55" s="102" t="str" cm="1">
        <f t="array" ref="AH55">_xlfn.TEXTJOIN(", ", TRUE, _xlfn.UNIQUE(IF(Sheet2!$A$2:$A$888 = LOAP!Y55, Sheet2!$C$2:$C$888, "")))</f>
        <v/>
      </c>
      <c r="AI55" s="100"/>
      <c r="AJ55" s="100"/>
      <c r="AK55" s="100"/>
      <c r="AL55" s="100" t="str">
        <f t="shared" si="1"/>
        <v xml:space="preserve"> </v>
      </c>
      <c r="AM55" s="108"/>
      <c r="AN55" s="108"/>
      <c r="AO55" s="108"/>
      <c r="AP55" s="108"/>
      <c r="AQ55" s="100"/>
      <c r="AR55" s="108"/>
      <c r="AS55" s="108"/>
      <c r="AT55" s="108"/>
      <c r="AU55" s="122"/>
    </row>
    <row r="56" spans="1:47" ht="15" customHeight="1" x14ac:dyDescent="0.25">
      <c r="A56" s="42">
        <f t="shared" si="2"/>
        <v>38</v>
      </c>
      <c r="B56" s="108"/>
      <c r="C56" s="108"/>
      <c r="D56" s="108"/>
      <c r="E56" s="108"/>
      <c r="F56" s="100"/>
      <c r="G56" s="62"/>
      <c r="H56" s="63"/>
      <c r="I56" s="108"/>
      <c r="J56" s="108"/>
      <c r="K56" s="108"/>
      <c r="L56" s="111"/>
      <c r="M56" s="108"/>
      <c r="N56" s="108"/>
      <c r="O56" s="107"/>
      <c r="P56" s="45"/>
      <c r="Q56" s="45"/>
      <c r="R56" s="100"/>
      <c r="S56" s="100"/>
      <c r="T56" s="108"/>
      <c r="U56" s="108"/>
      <c r="V56" s="108"/>
      <c r="W56" s="108"/>
      <c r="X56" s="100"/>
      <c r="Y56" s="108"/>
      <c r="Z56" s="108"/>
      <c r="AA56" s="108"/>
      <c r="AB56" s="109" t="str">
        <f>IF(Y56&lt;&gt;"", VLOOKUP(Y56, CBH_Taxonomies!C:D, 2, 0), "")</f>
        <v/>
      </c>
      <c r="AC56" s="109"/>
      <c r="AD56" s="109"/>
      <c r="AE56" s="109"/>
      <c r="AF56" s="109"/>
      <c r="AG56" s="102" t="str" cm="1">
        <f t="array" ref="AG56">_xlfn.TEXTJOIN(", ", TRUE, _xlfn.UNIQUE(IF(Sheet2!$A$2:$A$888 = LOAP!Y56, Sheet2!$B$2:$B$888, "")))</f>
        <v/>
      </c>
      <c r="AH56" s="102" t="str" cm="1">
        <f t="array" ref="AH56">_xlfn.TEXTJOIN(", ", TRUE, _xlfn.UNIQUE(IF(Sheet2!$A$2:$A$888 = LOAP!Y56, Sheet2!$C$2:$C$888, "")))</f>
        <v/>
      </c>
      <c r="AI56" s="100"/>
      <c r="AJ56" s="100"/>
      <c r="AK56" s="100"/>
      <c r="AL56" s="100" t="str">
        <f t="shared" si="1"/>
        <v xml:space="preserve"> </v>
      </c>
      <c r="AM56" s="108"/>
      <c r="AN56" s="108"/>
      <c r="AO56" s="108"/>
      <c r="AP56" s="108"/>
      <c r="AQ56" s="100"/>
      <c r="AR56" s="108"/>
      <c r="AS56" s="108"/>
      <c r="AT56" s="108"/>
      <c r="AU56" s="122"/>
    </row>
    <row r="57" spans="1:47" ht="15" customHeight="1" x14ac:dyDescent="0.25">
      <c r="A57" s="42">
        <f t="shared" si="2"/>
        <v>39</v>
      </c>
      <c r="B57" s="108"/>
      <c r="C57" s="108"/>
      <c r="D57" s="108"/>
      <c r="E57" s="108"/>
      <c r="F57" s="100"/>
      <c r="G57" s="62"/>
      <c r="H57" s="63"/>
      <c r="I57" s="108"/>
      <c r="J57" s="108"/>
      <c r="K57" s="108"/>
      <c r="L57" s="111"/>
      <c r="M57" s="108"/>
      <c r="N57" s="108"/>
      <c r="O57" s="107"/>
      <c r="P57" s="45"/>
      <c r="Q57" s="45"/>
      <c r="R57" s="100"/>
      <c r="S57" s="100"/>
      <c r="T57" s="108"/>
      <c r="U57" s="108"/>
      <c r="V57" s="108"/>
      <c r="W57" s="108"/>
      <c r="X57" s="100"/>
      <c r="Y57" s="108"/>
      <c r="Z57" s="108"/>
      <c r="AA57" s="108"/>
      <c r="AB57" s="109" t="str">
        <f>IF(Y57&lt;&gt;"", VLOOKUP(Y57, CBH_Taxonomies!C:D, 2, 0), "")</f>
        <v/>
      </c>
      <c r="AC57" s="109"/>
      <c r="AD57" s="109"/>
      <c r="AE57" s="109"/>
      <c r="AF57" s="109"/>
      <c r="AG57" s="102" t="str" cm="1">
        <f t="array" ref="AG57">_xlfn.TEXTJOIN(", ", TRUE, _xlfn.UNIQUE(IF(Sheet2!$A$2:$A$888 = LOAP!Y57, Sheet2!$B$2:$B$888, "")))</f>
        <v/>
      </c>
      <c r="AH57" s="102" t="str" cm="1">
        <f t="array" ref="AH57">_xlfn.TEXTJOIN(", ", TRUE, _xlfn.UNIQUE(IF(Sheet2!$A$2:$A$888 = LOAP!Y57, Sheet2!$C$2:$C$888, "")))</f>
        <v/>
      </c>
      <c r="AI57" s="100"/>
      <c r="AJ57" s="100"/>
      <c r="AK57" s="100"/>
      <c r="AL57" s="100" t="str">
        <f t="shared" si="1"/>
        <v xml:space="preserve"> </v>
      </c>
      <c r="AM57" s="108"/>
      <c r="AN57" s="108"/>
      <c r="AO57" s="108"/>
      <c r="AP57" s="108"/>
      <c r="AQ57" s="100"/>
      <c r="AR57" s="108"/>
      <c r="AS57" s="108"/>
      <c r="AT57" s="108"/>
      <c r="AU57" s="122"/>
    </row>
    <row r="58" spans="1:47" ht="15" customHeight="1" x14ac:dyDescent="0.25">
      <c r="A58" s="42">
        <f t="shared" si="2"/>
        <v>40</v>
      </c>
      <c r="B58" s="108"/>
      <c r="C58" s="108"/>
      <c r="D58" s="108"/>
      <c r="E58" s="108"/>
      <c r="F58" s="100"/>
      <c r="G58" s="62"/>
      <c r="H58" s="63"/>
      <c r="I58" s="108"/>
      <c r="J58" s="108"/>
      <c r="K58" s="108"/>
      <c r="L58" s="111"/>
      <c r="M58" s="108"/>
      <c r="N58" s="108"/>
      <c r="O58" s="107"/>
      <c r="P58" s="45"/>
      <c r="Q58" s="45"/>
      <c r="R58" s="100"/>
      <c r="S58" s="100"/>
      <c r="T58" s="108"/>
      <c r="U58" s="108"/>
      <c r="V58" s="108"/>
      <c r="W58" s="108"/>
      <c r="X58" s="100"/>
      <c r="Y58" s="108"/>
      <c r="Z58" s="108"/>
      <c r="AA58" s="108"/>
      <c r="AB58" s="109" t="str">
        <f>IF(Y58&lt;&gt;"", VLOOKUP(Y58, CBH_Taxonomies!C:D, 2, 0), "")</f>
        <v/>
      </c>
      <c r="AC58" s="109"/>
      <c r="AD58" s="109"/>
      <c r="AE58" s="109"/>
      <c r="AF58" s="109"/>
      <c r="AG58" s="102" t="str" cm="1">
        <f t="array" ref="AG58">_xlfn.TEXTJOIN(", ", TRUE, _xlfn.UNIQUE(IF(Sheet2!$A$2:$A$888 = LOAP!Y58, Sheet2!$B$2:$B$888, "")))</f>
        <v/>
      </c>
      <c r="AH58" s="102" t="str" cm="1">
        <f t="array" ref="AH58">_xlfn.TEXTJOIN(", ", TRUE, _xlfn.UNIQUE(IF(Sheet2!$A$2:$A$888 = LOAP!Y58, Sheet2!$C$2:$C$888, "")))</f>
        <v/>
      </c>
      <c r="AI58" s="100"/>
      <c r="AJ58" s="100"/>
      <c r="AK58" s="100"/>
      <c r="AL58" s="100" t="str">
        <f t="shared" si="1"/>
        <v xml:space="preserve"> </v>
      </c>
      <c r="AM58" s="108"/>
      <c r="AN58" s="108"/>
      <c r="AO58" s="108"/>
      <c r="AP58" s="108"/>
      <c r="AQ58" s="100"/>
      <c r="AR58" s="108"/>
      <c r="AS58" s="108"/>
      <c r="AT58" s="108"/>
      <c r="AU58" s="122"/>
    </row>
    <row r="59" spans="1:47" ht="15" customHeight="1" x14ac:dyDescent="0.25">
      <c r="A59" s="42">
        <f t="shared" si="2"/>
        <v>41</v>
      </c>
      <c r="B59" s="108"/>
      <c r="C59" s="108"/>
      <c r="D59" s="108"/>
      <c r="E59" s="108"/>
      <c r="F59" s="100"/>
      <c r="G59" s="62"/>
      <c r="H59" s="63"/>
      <c r="I59" s="108"/>
      <c r="J59" s="108"/>
      <c r="K59" s="108"/>
      <c r="L59" s="111"/>
      <c r="M59" s="108"/>
      <c r="N59" s="108"/>
      <c r="O59" s="107"/>
      <c r="P59" s="45"/>
      <c r="Q59" s="45"/>
      <c r="R59" s="100"/>
      <c r="S59" s="100"/>
      <c r="T59" s="108"/>
      <c r="U59" s="108"/>
      <c r="V59" s="108"/>
      <c r="W59" s="108"/>
      <c r="X59" s="100"/>
      <c r="Y59" s="108"/>
      <c r="Z59" s="108"/>
      <c r="AA59" s="108"/>
      <c r="AB59" s="109" t="str">
        <f>IF(Y59&lt;&gt;"", VLOOKUP(Y59, CBH_Taxonomies!C:D, 2, 0), "")</f>
        <v/>
      </c>
      <c r="AC59" s="109"/>
      <c r="AD59" s="109"/>
      <c r="AE59" s="109"/>
      <c r="AF59" s="109"/>
      <c r="AG59" s="102" t="str" cm="1">
        <f t="array" ref="AG59">_xlfn.TEXTJOIN(", ", TRUE, _xlfn.UNIQUE(IF(Sheet2!$A$2:$A$888 = LOAP!Y59, Sheet2!$B$2:$B$888, "")))</f>
        <v/>
      </c>
      <c r="AH59" s="102" t="str" cm="1">
        <f t="array" ref="AH59">_xlfn.TEXTJOIN(", ", TRUE, _xlfn.UNIQUE(IF(Sheet2!$A$2:$A$888 = LOAP!Y59, Sheet2!$C$2:$C$888, "")))</f>
        <v/>
      </c>
      <c r="AI59" s="100"/>
      <c r="AJ59" s="100"/>
      <c r="AK59" s="100"/>
      <c r="AL59" s="100" t="str">
        <f t="shared" si="1"/>
        <v xml:space="preserve"> </v>
      </c>
      <c r="AM59" s="108"/>
      <c r="AN59" s="108"/>
      <c r="AO59" s="108"/>
      <c r="AP59" s="108"/>
      <c r="AQ59" s="100"/>
      <c r="AR59" s="108"/>
      <c r="AS59" s="108"/>
      <c r="AT59" s="108"/>
      <c r="AU59" s="122"/>
    </row>
    <row r="60" spans="1:47" ht="15" customHeight="1" x14ac:dyDescent="0.25">
      <c r="A60" s="42">
        <f t="shared" si="2"/>
        <v>42</v>
      </c>
      <c r="B60" s="108"/>
      <c r="C60" s="108"/>
      <c r="D60" s="108"/>
      <c r="E60" s="108"/>
      <c r="F60" s="100"/>
      <c r="G60" s="62"/>
      <c r="H60" s="63"/>
      <c r="I60" s="108"/>
      <c r="J60" s="108"/>
      <c r="K60" s="108"/>
      <c r="L60" s="111"/>
      <c r="M60" s="108"/>
      <c r="N60" s="108"/>
      <c r="O60" s="107"/>
      <c r="P60" s="45"/>
      <c r="Q60" s="45"/>
      <c r="R60" s="100"/>
      <c r="S60" s="100"/>
      <c r="T60" s="108"/>
      <c r="U60" s="108"/>
      <c r="V60" s="108"/>
      <c r="W60" s="108"/>
      <c r="X60" s="100"/>
      <c r="Y60" s="108"/>
      <c r="Z60" s="108"/>
      <c r="AA60" s="108"/>
      <c r="AB60" s="109" t="str">
        <f>IF(Y60&lt;&gt;"", VLOOKUP(Y60, CBH_Taxonomies!C:D, 2, 0), "")</f>
        <v/>
      </c>
      <c r="AC60" s="109"/>
      <c r="AD60" s="109"/>
      <c r="AE60" s="109"/>
      <c r="AF60" s="109"/>
      <c r="AG60" s="102" t="str" cm="1">
        <f t="array" ref="AG60">_xlfn.TEXTJOIN(", ", TRUE, _xlfn.UNIQUE(IF(Sheet2!$A$2:$A$888 = LOAP!Y60, Sheet2!$B$2:$B$888, "")))</f>
        <v/>
      </c>
      <c r="AH60" s="102" t="str" cm="1">
        <f t="array" ref="AH60">_xlfn.TEXTJOIN(", ", TRUE, _xlfn.UNIQUE(IF(Sheet2!$A$2:$A$888 = LOAP!Y60, Sheet2!$C$2:$C$888, "")))</f>
        <v/>
      </c>
      <c r="AI60" s="100"/>
      <c r="AJ60" s="100"/>
      <c r="AK60" s="100"/>
      <c r="AL60" s="100" t="str">
        <f t="shared" si="1"/>
        <v xml:space="preserve"> </v>
      </c>
      <c r="AM60" s="108"/>
      <c r="AN60" s="108"/>
      <c r="AO60" s="108"/>
      <c r="AP60" s="108"/>
      <c r="AQ60" s="100"/>
      <c r="AR60" s="108"/>
      <c r="AS60" s="108"/>
      <c r="AT60" s="108"/>
      <c r="AU60" s="122"/>
    </row>
    <row r="61" spans="1:47" ht="15" customHeight="1" x14ac:dyDescent="0.25">
      <c r="A61" s="42">
        <f t="shared" si="2"/>
        <v>43</v>
      </c>
      <c r="B61" s="108"/>
      <c r="C61" s="108"/>
      <c r="D61" s="108"/>
      <c r="E61" s="108"/>
      <c r="F61" s="100"/>
      <c r="G61" s="62"/>
      <c r="H61" s="63"/>
      <c r="I61" s="108"/>
      <c r="J61" s="108"/>
      <c r="K61" s="108"/>
      <c r="L61" s="111"/>
      <c r="M61" s="108"/>
      <c r="N61" s="108"/>
      <c r="O61" s="107"/>
      <c r="P61" s="45"/>
      <c r="Q61" s="45"/>
      <c r="R61" s="100"/>
      <c r="S61" s="100"/>
      <c r="T61" s="108"/>
      <c r="U61" s="108"/>
      <c r="V61" s="108"/>
      <c r="W61" s="108"/>
      <c r="X61" s="100"/>
      <c r="Y61" s="108"/>
      <c r="Z61" s="108"/>
      <c r="AA61" s="108"/>
      <c r="AB61" s="109" t="str">
        <f>IF(Y61&lt;&gt;"", VLOOKUP(Y61, CBH_Taxonomies!C:D, 2, 0), "")</f>
        <v/>
      </c>
      <c r="AC61" s="109"/>
      <c r="AD61" s="109"/>
      <c r="AE61" s="109"/>
      <c r="AF61" s="109"/>
      <c r="AG61" s="102" t="str" cm="1">
        <f t="array" ref="AG61">_xlfn.TEXTJOIN(", ", TRUE, _xlfn.UNIQUE(IF(Sheet2!$A$2:$A$888 = LOAP!Y61, Sheet2!$B$2:$B$888, "")))</f>
        <v/>
      </c>
      <c r="AH61" s="102" t="str" cm="1">
        <f t="array" ref="AH61">_xlfn.TEXTJOIN(", ", TRUE, _xlfn.UNIQUE(IF(Sheet2!$A$2:$A$888 = LOAP!Y61, Sheet2!$C$2:$C$888, "")))</f>
        <v/>
      </c>
      <c r="AI61" s="100"/>
      <c r="AJ61" s="100"/>
      <c r="AK61" s="100"/>
      <c r="AL61" s="100" t="str">
        <f t="shared" si="1"/>
        <v xml:space="preserve"> </v>
      </c>
      <c r="AM61" s="108"/>
      <c r="AN61" s="108"/>
      <c r="AO61" s="108"/>
      <c r="AP61" s="108"/>
      <c r="AQ61" s="100"/>
      <c r="AR61" s="108"/>
      <c r="AS61" s="108"/>
      <c r="AT61" s="108"/>
      <c r="AU61" s="122"/>
    </row>
    <row r="62" spans="1:47" ht="15" customHeight="1" x14ac:dyDescent="0.25">
      <c r="A62" s="42">
        <f t="shared" si="2"/>
        <v>44</v>
      </c>
      <c r="B62" s="108"/>
      <c r="C62" s="108"/>
      <c r="D62" s="108"/>
      <c r="E62" s="108"/>
      <c r="F62" s="100"/>
      <c r="G62" s="62"/>
      <c r="H62" s="63"/>
      <c r="I62" s="108"/>
      <c r="J62" s="108"/>
      <c r="K62" s="108"/>
      <c r="L62" s="111"/>
      <c r="M62" s="108"/>
      <c r="N62" s="108"/>
      <c r="O62" s="107"/>
      <c r="P62" s="45"/>
      <c r="Q62" s="45"/>
      <c r="R62" s="100"/>
      <c r="S62" s="100"/>
      <c r="T62" s="108"/>
      <c r="U62" s="108"/>
      <c r="V62" s="108"/>
      <c r="W62" s="108"/>
      <c r="X62" s="100"/>
      <c r="Y62" s="108"/>
      <c r="Z62" s="108"/>
      <c r="AA62" s="108"/>
      <c r="AB62" s="109" t="str">
        <f>IF(Y62&lt;&gt;"", VLOOKUP(Y62, CBH_Taxonomies!C:D, 2, 0), "")</f>
        <v/>
      </c>
      <c r="AC62" s="109"/>
      <c r="AD62" s="109"/>
      <c r="AE62" s="109"/>
      <c r="AF62" s="109"/>
      <c r="AG62" s="102" t="str" cm="1">
        <f t="array" ref="AG62">_xlfn.TEXTJOIN(", ", TRUE, _xlfn.UNIQUE(IF(Sheet2!$A$2:$A$888 = LOAP!Y62, Sheet2!$B$2:$B$888, "")))</f>
        <v/>
      </c>
      <c r="AH62" s="102" t="str" cm="1">
        <f t="array" ref="AH62">_xlfn.TEXTJOIN(", ", TRUE, _xlfn.UNIQUE(IF(Sheet2!$A$2:$A$888 = LOAP!Y62, Sheet2!$C$2:$C$888, "")))</f>
        <v/>
      </c>
      <c r="AI62" s="100"/>
      <c r="AJ62" s="100"/>
      <c r="AK62" s="100"/>
      <c r="AL62" s="100" t="str">
        <f t="shared" si="1"/>
        <v xml:space="preserve"> </v>
      </c>
      <c r="AM62" s="108"/>
      <c r="AN62" s="108"/>
      <c r="AO62" s="108"/>
      <c r="AP62" s="108"/>
      <c r="AQ62" s="100"/>
      <c r="AR62" s="108"/>
      <c r="AS62" s="108"/>
      <c r="AT62" s="108"/>
      <c r="AU62" s="122"/>
    </row>
    <row r="63" spans="1:47" ht="15" customHeight="1" x14ac:dyDescent="0.25">
      <c r="A63" s="42">
        <f t="shared" si="2"/>
        <v>45</v>
      </c>
      <c r="B63" s="108"/>
      <c r="C63" s="108"/>
      <c r="D63" s="108"/>
      <c r="E63" s="108"/>
      <c r="F63" s="100"/>
      <c r="G63" s="62"/>
      <c r="H63" s="63"/>
      <c r="I63" s="108"/>
      <c r="J63" s="108"/>
      <c r="K63" s="108"/>
      <c r="L63" s="111"/>
      <c r="M63" s="108"/>
      <c r="N63" s="108"/>
      <c r="O63" s="107"/>
      <c r="P63" s="45"/>
      <c r="Q63" s="45"/>
      <c r="R63" s="100"/>
      <c r="S63" s="100"/>
      <c r="T63" s="108"/>
      <c r="U63" s="108"/>
      <c r="V63" s="108"/>
      <c r="W63" s="108"/>
      <c r="X63" s="100"/>
      <c r="Y63" s="108"/>
      <c r="Z63" s="108"/>
      <c r="AA63" s="108"/>
      <c r="AB63" s="109" t="str">
        <f>IF(Y63&lt;&gt;"", VLOOKUP(Y63, CBH_Taxonomies!C:D, 2, 0), "")</f>
        <v/>
      </c>
      <c r="AC63" s="109"/>
      <c r="AD63" s="109"/>
      <c r="AE63" s="109"/>
      <c r="AF63" s="109"/>
      <c r="AG63" s="102" t="str" cm="1">
        <f t="array" ref="AG63">_xlfn.TEXTJOIN(", ", TRUE, _xlfn.UNIQUE(IF(Sheet2!$A$2:$A$888 = LOAP!Y63, Sheet2!$B$2:$B$888, "")))</f>
        <v/>
      </c>
      <c r="AH63" s="102" t="str" cm="1">
        <f t="array" ref="AH63">_xlfn.TEXTJOIN(", ", TRUE, _xlfn.UNIQUE(IF(Sheet2!$A$2:$A$888 = LOAP!Y63, Sheet2!$C$2:$C$888, "")))</f>
        <v/>
      </c>
      <c r="AI63" s="100"/>
      <c r="AJ63" s="100"/>
      <c r="AK63" s="100"/>
      <c r="AL63" s="100" t="str">
        <f t="shared" si="1"/>
        <v xml:space="preserve"> </v>
      </c>
      <c r="AM63" s="108"/>
      <c r="AN63" s="108"/>
      <c r="AO63" s="108"/>
      <c r="AP63" s="108"/>
      <c r="AQ63" s="100"/>
      <c r="AR63" s="108"/>
      <c r="AS63" s="108"/>
      <c r="AT63" s="108"/>
      <c r="AU63" s="122"/>
    </row>
    <row r="64" spans="1:47" ht="15" customHeight="1" x14ac:dyDescent="0.25">
      <c r="A64" s="42">
        <f t="shared" si="2"/>
        <v>46</v>
      </c>
      <c r="B64" s="108"/>
      <c r="C64" s="108"/>
      <c r="D64" s="108"/>
      <c r="E64" s="108"/>
      <c r="F64" s="100"/>
      <c r="G64" s="62"/>
      <c r="H64" s="63"/>
      <c r="I64" s="108"/>
      <c r="J64" s="108"/>
      <c r="K64" s="108"/>
      <c r="L64" s="111"/>
      <c r="M64" s="108"/>
      <c r="N64" s="108"/>
      <c r="O64" s="107"/>
      <c r="P64" s="45"/>
      <c r="Q64" s="45"/>
      <c r="R64" s="100"/>
      <c r="S64" s="100"/>
      <c r="T64" s="108"/>
      <c r="U64" s="108"/>
      <c r="V64" s="108"/>
      <c r="W64" s="108"/>
      <c r="X64" s="100"/>
      <c r="Y64" s="108"/>
      <c r="Z64" s="108"/>
      <c r="AA64" s="108"/>
      <c r="AB64" s="109" t="str">
        <f>IF(Y64&lt;&gt;"", VLOOKUP(Y64, CBH_Taxonomies!C:D, 2, 0), "")</f>
        <v/>
      </c>
      <c r="AC64" s="109"/>
      <c r="AD64" s="109"/>
      <c r="AE64" s="109"/>
      <c r="AF64" s="109"/>
      <c r="AG64" s="102" t="str" cm="1">
        <f t="array" ref="AG64">_xlfn.TEXTJOIN(", ", TRUE, _xlfn.UNIQUE(IF(Sheet2!$A$2:$A$888 = LOAP!Y64, Sheet2!$B$2:$B$888, "")))</f>
        <v/>
      </c>
      <c r="AH64" s="102" t="str" cm="1">
        <f t="array" ref="AH64">_xlfn.TEXTJOIN(", ", TRUE, _xlfn.UNIQUE(IF(Sheet2!$A$2:$A$888 = LOAP!Y64, Sheet2!$C$2:$C$888, "")))</f>
        <v/>
      </c>
      <c r="AI64" s="100"/>
      <c r="AJ64" s="100"/>
      <c r="AK64" s="100"/>
      <c r="AL64" s="100" t="str">
        <f t="shared" si="1"/>
        <v xml:space="preserve"> </v>
      </c>
      <c r="AM64" s="108"/>
      <c r="AN64" s="108"/>
      <c r="AO64" s="108"/>
      <c r="AP64" s="108"/>
      <c r="AQ64" s="100"/>
      <c r="AR64" s="108"/>
      <c r="AS64" s="108"/>
      <c r="AT64" s="108"/>
      <c r="AU64" s="122"/>
    </row>
    <row r="65" spans="1:47" ht="15" customHeight="1" x14ac:dyDescent="0.25">
      <c r="A65" s="42">
        <f t="shared" si="2"/>
        <v>47</v>
      </c>
      <c r="B65" s="108"/>
      <c r="C65" s="108"/>
      <c r="D65" s="108"/>
      <c r="E65" s="108"/>
      <c r="F65" s="100"/>
      <c r="G65" s="62"/>
      <c r="H65" s="63"/>
      <c r="I65" s="108"/>
      <c r="J65" s="108"/>
      <c r="K65" s="108"/>
      <c r="L65" s="111"/>
      <c r="M65" s="108"/>
      <c r="N65" s="108"/>
      <c r="O65" s="107"/>
      <c r="P65" s="45"/>
      <c r="Q65" s="45"/>
      <c r="R65" s="100"/>
      <c r="S65" s="100"/>
      <c r="T65" s="108"/>
      <c r="U65" s="108"/>
      <c r="V65" s="108"/>
      <c r="W65" s="108"/>
      <c r="X65" s="100"/>
      <c r="Y65" s="108"/>
      <c r="Z65" s="108"/>
      <c r="AA65" s="108"/>
      <c r="AB65" s="109" t="str">
        <f>IF(Y65&lt;&gt;"", VLOOKUP(Y65, CBH_Taxonomies!C:D, 2, 0), "")</f>
        <v/>
      </c>
      <c r="AC65" s="109"/>
      <c r="AD65" s="109"/>
      <c r="AE65" s="109"/>
      <c r="AF65" s="109"/>
      <c r="AG65" s="102" t="str" cm="1">
        <f t="array" ref="AG65">_xlfn.TEXTJOIN(", ", TRUE, _xlfn.UNIQUE(IF(Sheet2!$A$2:$A$888 = LOAP!Y65, Sheet2!$B$2:$B$888, "")))</f>
        <v/>
      </c>
      <c r="AH65" s="102" t="str" cm="1">
        <f t="array" ref="AH65">_xlfn.TEXTJOIN(", ", TRUE, _xlfn.UNIQUE(IF(Sheet2!$A$2:$A$888 = LOAP!Y65, Sheet2!$C$2:$C$888, "")))</f>
        <v/>
      </c>
      <c r="AI65" s="100"/>
      <c r="AJ65" s="100"/>
      <c r="AK65" s="100"/>
      <c r="AL65" s="100" t="str">
        <f t="shared" si="1"/>
        <v xml:space="preserve"> </v>
      </c>
      <c r="AM65" s="108"/>
      <c r="AN65" s="108"/>
      <c r="AO65" s="108"/>
      <c r="AP65" s="108"/>
      <c r="AQ65" s="100"/>
      <c r="AR65" s="108"/>
      <c r="AS65" s="108"/>
      <c r="AT65" s="108"/>
      <c r="AU65" s="122"/>
    </row>
    <row r="66" spans="1:47" ht="15" customHeight="1" x14ac:dyDescent="0.25">
      <c r="A66" s="42">
        <f t="shared" si="2"/>
        <v>48</v>
      </c>
      <c r="B66" s="108"/>
      <c r="C66" s="108"/>
      <c r="D66" s="108"/>
      <c r="E66" s="108"/>
      <c r="F66" s="100"/>
      <c r="G66" s="62"/>
      <c r="H66" s="63"/>
      <c r="I66" s="108"/>
      <c r="J66" s="108"/>
      <c r="K66" s="108"/>
      <c r="L66" s="111"/>
      <c r="M66" s="108"/>
      <c r="N66" s="108"/>
      <c r="O66" s="107"/>
      <c r="P66" s="45"/>
      <c r="Q66" s="45"/>
      <c r="R66" s="100"/>
      <c r="S66" s="100"/>
      <c r="T66" s="108"/>
      <c r="U66" s="108"/>
      <c r="V66" s="108"/>
      <c r="W66" s="108"/>
      <c r="X66" s="100"/>
      <c r="Y66" s="108"/>
      <c r="Z66" s="108"/>
      <c r="AA66" s="108"/>
      <c r="AB66" s="109" t="str">
        <f>IF(Y66&lt;&gt;"", VLOOKUP(Y66, CBH_Taxonomies!C:D, 2, 0), "")</f>
        <v/>
      </c>
      <c r="AC66" s="109"/>
      <c r="AD66" s="109"/>
      <c r="AE66" s="109"/>
      <c r="AF66" s="109"/>
      <c r="AG66" s="102" t="str" cm="1">
        <f t="array" ref="AG66">_xlfn.TEXTJOIN(", ", TRUE, _xlfn.UNIQUE(IF(Sheet2!$A$2:$A$888 = LOAP!Y66, Sheet2!$B$2:$B$888, "")))</f>
        <v/>
      </c>
      <c r="AH66" s="102" t="str" cm="1">
        <f t="array" ref="AH66">_xlfn.TEXTJOIN(", ", TRUE, _xlfn.UNIQUE(IF(Sheet2!$A$2:$A$888 = LOAP!Y66, Sheet2!$C$2:$C$888, "")))</f>
        <v/>
      </c>
      <c r="AI66" s="100"/>
      <c r="AJ66" s="100"/>
      <c r="AK66" s="100"/>
      <c r="AL66" s="100" t="str">
        <f t="shared" si="1"/>
        <v xml:space="preserve"> </v>
      </c>
      <c r="AM66" s="108"/>
      <c r="AN66" s="108"/>
      <c r="AO66" s="108"/>
      <c r="AP66" s="108"/>
      <c r="AQ66" s="100"/>
      <c r="AR66" s="108"/>
      <c r="AS66" s="108"/>
      <c r="AT66" s="108"/>
      <c r="AU66" s="122"/>
    </row>
    <row r="67" spans="1:47" ht="15" customHeight="1" x14ac:dyDescent="0.25">
      <c r="A67" s="42">
        <f t="shared" si="2"/>
        <v>49</v>
      </c>
      <c r="B67" s="108"/>
      <c r="C67" s="108"/>
      <c r="D67" s="108"/>
      <c r="E67" s="108"/>
      <c r="F67" s="100"/>
      <c r="G67" s="62"/>
      <c r="H67" s="63"/>
      <c r="I67" s="108"/>
      <c r="J67" s="108"/>
      <c r="K67" s="108"/>
      <c r="L67" s="111"/>
      <c r="M67" s="108"/>
      <c r="N67" s="108"/>
      <c r="O67" s="107"/>
      <c r="P67" s="45"/>
      <c r="Q67" s="45"/>
      <c r="R67" s="100"/>
      <c r="S67" s="100"/>
      <c r="T67" s="108"/>
      <c r="U67" s="108"/>
      <c r="V67" s="108"/>
      <c r="W67" s="108"/>
      <c r="X67" s="100"/>
      <c r="Y67" s="108"/>
      <c r="Z67" s="108"/>
      <c r="AA67" s="108"/>
      <c r="AB67" s="109" t="str">
        <f>IF(Y67&lt;&gt;"", VLOOKUP(Y67, CBH_Taxonomies!C:D, 2, 0), "")</f>
        <v/>
      </c>
      <c r="AC67" s="109"/>
      <c r="AD67" s="109"/>
      <c r="AE67" s="109"/>
      <c r="AF67" s="109"/>
      <c r="AG67" s="102" t="str" cm="1">
        <f t="array" ref="AG67">_xlfn.TEXTJOIN(", ", TRUE, _xlfn.UNIQUE(IF(Sheet2!$A$2:$A$888 = LOAP!Y67, Sheet2!$B$2:$B$888, "")))</f>
        <v/>
      </c>
      <c r="AH67" s="102" t="str" cm="1">
        <f t="array" ref="AH67">_xlfn.TEXTJOIN(", ", TRUE, _xlfn.UNIQUE(IF(Sheet2!$A$2:$A$888 = LOAP!Y67, Sheet2!$C$2:$C$888, "")))</f>
        <v/>
      </c>
      <c r="AI67" s="100"/>
      <c r="AJ67" s="100"/>
      <c r="AK67" s="100"/>
      <c r="AL67" s="100" t="str">
        <f t="shared" si="1"/>
        <v xml:space="preserve"> </v>
      </c>
      <c r="AM67" s="108"/>
      <c r="AN67" s="108"/>
      <c r="AO67" s="108"/>
      <c r="AP67" s="108"/>
      <c r="AQ67" s="100"/>
      <c r="AR67" s="108"/>
      <c r="AS67" s="108"/>
      <c r="AT67" s="108"/>
      <c r="AU67" s="122"/>
    </row>
    <row r="68" spans="1:47" ht="15" customHeight="1" x14ac:dyDescent="0.25">
      <c r="A68" s="42">
        <f t="shared" si="2"/>
        <v>50</v>
      </c>
      <c r="B68" s="108"/>
      <c r="C68" s="108"/>
      <c r="D68" s="108"/>
      <c r="E68" s="108"/>
      <c r="F68" s="100"/>
      <c r="G68" s="62"/>
      <c r="H68" s="63"/>
      <c r="I68" s="108"/>
      <c r="J68" s="108"/>
      <c r="K68" s="108"/>
      <c r="L68" s="111"/>
      <c r="M68" s="108"/>
      <c r="N68" s="108"/>
      <c r="O68" s="107"/>
      <c r="P68" s="45"/>
      <c r="Q68" s="45"/>
      <c r="R68" s="100"/>
      <c r="S68" s="100"/>
      <c r="T68" s="108"/>
      <c r="U68" s="108"/>
      <c r="V68" s="108"/>
      <c r="W68" s="108"/>
      <c r="X68" s="100"/>
      <c r="Y68" s="108"/>
      <c r="Z68" s="108"/>
      <c r="AA68" s="108"/>
      <c r="AB68" s="109" t="str">
        <f>IF(Y68&lt;&gt;"", VLOOKUP(Y68, CBH_Taxonomies!C:D, 2, 0), "")</f>
        <v/>
      </c>
      <c r="AC68" s="109"/>
      <c r="AD68" s="109"/>
      <c r="AE68" s="109"/>
      <c r="AF68" s="109"/>
      <c r="AG68" s="102" t="str" cm="1">
        <f t="array" ref="AG68">_xlfn.TEXTJOIN(", ", TRUE, _xlfn.UNIQUE(IF(Sheet2!$A$2:$A$888 = LOAP!Y68, Sheet2!$B$2:$B$888, "")))</f>
        <v/>
      </c>
      <c r="AH68" s="102" t="str" cm="1">
        <f t="array" ref="AH68">_xlfn.TEXTJOIN(", ", TRUE, _xlfn.UNIQUE(IF(Sheet2!$A$2:$A$888 = LOAP!Y68, Sheet2!$C$2:$C$888, "")))</f>
        <v/>
      </c>
      <c r="AI68" s="100"/>
      <c r="AJ68" s="100"/>
      <c r="AK68" s="100"/>
      <c r="AL68" s="100" t="str">
        <f t="shared" si="1"/>
        <v xml:space="preserve"> </v>
      </c>
      <c r="AM68" s="108"/>
      <c r="AN68" s="108"/>
      <c r="AO68" s="108"/>
      <c r="AP68" s="108"/>
      <c r="AQ68" s="100"/>
      <c r="AR68" s="108"/>
      <c r="AS68" s="108"/>
      <c r="AT68" s="108"/>
      <c r="AU68" s="122"/>
    </row>
    <row r="69" spans="1:47" ht="15" customHeight="1" x14ac:dyDescent="0.25">
      <c r="A69" s="42">
        <f t="shared" si="2"/>
        <v>51</v>
      </c>
      <c r="B69" s="108"/>
      <c r="C69" s="108"/>
      <c r="D69" s="108"/>
      <c r="E69" s="108"/>
      <c r="F69" s="100"/>
      <c r="G69" s="62"/>
      <c r="H69" s="63"/>
      <c r="I69" s="108"/>
      <c r="J69" s="108"/>
      <c r="K69" s="108"/>
      <c r="L69" s="111"/>
      <c r="M69" s="108"/>
      <c r="N69" s="108"/>
      <c r="O69" s="107"/>
      <c r="P69" s="45"/>
      <c r="Q69" s="45"/>
      <c r="R69" s="100"/>
      <c r="S69" s="100"/>
      <c r="T69" s="108"/>
      <c r="U69" s="108"/>
      <c r="V69" s="108"/>
      <c r="W69" s="108"/>
      <c r="X69" s="100"/>
      <c r="Y69" s="108"/>
      <c r="Z69" s="108"/>
      <c r="AA69" s="108"/>
      <c r="AB69" s="109" t="str">
        <f>IF(Y69&lt;&gt;"", VLOOKUP(Y69, CBH_Taxonomies!C:D, 2, 0), "")</f>
        <v/>
      </c>
      <c r="AC69" s="109"/>
      <c r="AD69" s="109"/>
      <c r="AE69" s="109"/>
      <c r="AF69" s="109"/>
      <c r="AG69" s="102" t="str" cm="1">
        <f t="array" ref="AG69">_xlfn.TEXTJOIN(", ", TRUE, _xlfn.UNIQUE(IF(Sheet2!$A$2:$A$888 = LOAP!Y69, Sheet2!$B$2:$B$888, "")))</f>
        <v/>
      </c>
      <c r="AH69" s="102" t="str" cm="1">
        <f t="array" ref="AH69">_xlfn.TEXTJOIN(", ", TRUE, _xlfn.UNIQUE(IF(Sheet2!$A$2:$A$888 = LOAP!Y69, Sheet2!$C$2:$C$888, "")))</f>
        <v/>
      </c>
      <c r="AI69" s="100"/>
      <c r="AJ69" s="100"/>
      <c r="AK69" s="100"/>
      <c r="AL69" s="100" t="str">
        <f t="shared" si="1"/>
        <v xml:space="preserve"> </v>
      </c>
      <c r="AM69" s="108"/>
      <c r="AN69" s="108"/>
      <c r="AO69" s="108"/>
      <c r="AP69" s="108"/>
      <c r="AQ69" s="100"/>
      <c r="AR69" s="108"/>
      <c r="AS69" s="108"/>
      <c r="AT69" s="108"/>
      <c r="AU69" s="122"/>
    </row>
    <row r="70" spans="1:47" ht="15" customHeight="1" x14ac:dyDescent="0.25">
      <c r="A70" s="42">
        <f t="shared" si="2"/>
        <v>52</v>
      </c>
      <c r="B70" s="108"/>
      <c r="C70" s="108"/>
      <c r="D70" s="108"/>
      <c r="E70" s="108"/>
      <c r="F70" s="100"/>
      <c r="G70" s="62"/>
      <c r="H70" s="63"/>
      <c r="I70" s="108"/>
      <c r="J70" s="108"/>
      <c r="K70" s="108"/>
      <c r="L70" s="111"/>
      <c r="M70" s="108"/>
      <c r="N70" s="108"/>
      <c r="O70" s="107"/>
      <c r="P70" s="45"/>
      <c r="Q70" s="45"/>
      <c r="R70" s="100"/>
      <c r="S70" s="100"/>
      <c r="T70" s="108"/>
      <c r="U70" s="108"/>
      <c r="V70" s="108"/>
      <c r="W70" s="108"/>
      <c r="X70" s="100"/>
      <c r="Y70" s="108"/>
      <c r="Z70" s="108"/>
      <c r="AA70" s="108"/>
      <c r="AB70" s="109" t="str">
        <f>IF(Y70&lt;&gt;"", VLOOKUP(Y70, CBH_Taxonomies!C:D, 2, 0), "")</f>
        <v/>
      </c>
      <c r="AC70" s="109"/>
      <c r="AD70" s="109"/>
      <c r="AE70" s="109"/>
      <c r="AF70" s="109"/>
      <c r="AG70" s="102" t="str" cm="1">
        <f t="array" ref="AG70">_xlfn.TEXTJOIN(", ", TRUE, _xlfn.UNIQUE(IF(Sheet2!$A$2:$A$888 = LOAP!Y70, Sheet2!$B$2:$B$888, "")))</f>
        <v/>
      </c>
      <c r="AH70" s="102" t="str" cm="1">
        <f t="array" ref="AH70">_xlfn.TEXTJOIN(", ", TRUE, _xlfn.UNIQUE(IF(Sheet2!$A$2:$A$888 = LOAP!Y70, Sheet2!$C$2:$C$888, "")))</f>
        <v/>
      </c>
      <c r="AI70" s="100"/>
      <c r="AJ70" s="100"/>
      <c r="AK70" s="100"/>
      <c r="AL70" s="100" t="str">
        <f t="shared" si="1"/>
        <v xml:space="preserve"> </v>
      </c>
      <c r="AM70" s="108"/>
      <c r="AN70" s="108"/>
      <c r="AO70" s="108"/>
      <c r="AP70" s="108"/>
      <c r="AQ70" s="100"/>
      <c r="AR70" s="108"/>
      <c r="AS70" s="108"/>
      <c r="AT70" s="108"/>
      <c r="AU70" s="122"/>
    </row>
    <row r="71" spans="1:47" ht="15" customHeight="1" x14ac:dyDescent="0.25">
      <c r="A71" s="42">
        <f t="shared" si="2"/>
        <v>53</v>
      </c>
      <c r="B71" s="108"/>
      <c r="C71" s="108"/>
      <c r="D71" s="108"/>
      <c r="E71" s="108"/>
      <c r="F71" s="100"/>
      <c r="G71" s="62"/>
      <c r="H71" s="63"/>
      <c r="I71" s="108"/>
      <c r="J71" s="108"/>
      <c r="K71" s="108"/>
      <c r="L71" s="111"/>
      <c r="M71" s="108"/>
      <c r="N71" s="108"/>
      <c r="O71" s="107"/>
      <c r="P71" s="45"/>
      <c r="Q71" s="45"/>
      <c r="R71" s="100"/>
      <c r="S71" s="100"/>
      <c r="T71" s="108"/>
      <c r="U71" s="108"/>
      <c r="V71" s="108"/>
      <c r="W71" s="108"/>
      <c r="X71" s="100"/>
      <c r="Y71" s="108"/>
      <c r="Z71" s="108"/>
      <c r="AA71" s="108"/>
      <c r="AB71" s="109" t="str">
        <f>IF(Y71&lt;&gt;"", VLOOKUP(Y71, CBH_Taxonomies!C:D, 2, 0), "")</f>
        <v/>
      </c>
      <c r="AC71" s="109"/>
      <c r="AD71" s="109"/>
      <c r="AE71" s="109"/>
      <c r="AF71" s="109"/>
      <c r="AG71" s="102" t="str" cm="1">
        <f t="array" ref="AG71">_xlfn.TEXTJOIN(", ", TRUE, _xlfn.UNIQUE(IF(Sheet2!$A$2:$A$888 = LOAP!Y71, Sheet2!$B$2:$B$888, "")))</f>
        <v/>
      </c>
      <c r="AH71" s="102" t="str" cm="1">
        <f t="array" ref="AH71">_xlfn.TEXTJOIN(", ", TRUE, _xlfn.UNIQUE(IF(Sheet2!$A$2:$A$888 = LOAP!Y71, Sheet2!$C$2:$C$888, "")))</f>
        <v/>
      </c>
      <c r="AI71" s="100"/>
      <c r="AJ71" s="100"/>
      <c r="AK71" s="100"/>
      <c r="AL71" s="100" t="str">
        <f t="shared" si="1"/>
        <v xml:space="preserve"> </v>
      </c>
      <c r="AM71" s="108"/>
      <c r="AN71" s="108"/>
      <c r="AO71" s="108"/>
      <c r="AP71" s="108"/>
      <c r="AQ71" s="100"/>
      <c r="AR71" s="108"/>
      <c r="AS71" s="108"/>
      <c r="AT71" s="108"/>
      <c r="AU71" s="122"/>
    </row>
    <row r="72" spans="1:47" ht="15" customHeight="1" x14ac:dyDescent="0.25">
      <c r="A72" s="42">
        <f t="shared" si="2"/>
        <v>54</v>
      </c>
      <c r="B72" s="108"/>
      <c r="C72" s="108"/>
      <c r="D72" s="108"/>
      <c r="E72" s="108"/>
      <c r="F72" s="100"/>
      <c r="G72" s="62"/>
      <c r="H72" s="63"/>
      <c r="I72" s="108"/>
      <c r="J72" s="108"/>
      <c r="K72" s="108"/>
      <c r="L72" s="111"/>
      <c r="M72" s="108"/>
      <c r="N72" s="108"/>
      <c r="O72" s="107"/>
      <c r="P72" s="45"/>
      <c r="Q72" s="45"/>
      <c r="R72" s="100"/>
      <c r="S72" s="100"/>
      <c r="T72" s="108"/>
      <c r="U72" s="108"/>
      <c r="V72" s="108"/>
      <c r="W72" s="108"/>
      <c r="X72" s="100"/>
      <c r="Y72" s="108"/>
      <c r="Z72" s="108"/>
      <c r="AA72" s="108"/>
      <c r="AB72" s="109" t="str">
        <f>IF(Y72&lt;&gt;"", VLOOKUP(Y72, CBH_Taxonomies!C:D, 2, 0), "")</f>
        <v/>
      </c>
      <c r="AC72" s="109"/>
      <c r="AD72" s="109"/>
      <c r="AE72" s="109"/>
      <c r="AF72" s="109"/>
      <c r="AG72" s="102" t="str" cm="1">
        <f t="array" ref="AG72">_xlfn.TEXTJOIN(", ", TRUE, _xlfn.UNIQUE(IF(Sheet2!$A$2:$A$888 = LOAP!Y72, Sheet2!$B$2:$B$888, "")))</f>
        <v/>
      </c>
      <c r="AH72" s="102" t="str" cm="1">
        <f t="array" ref="AH72">_xlfn.TEXTJOIN(", ", TRUE, _xlfn.UNIQUE(IF(Sheet2!$A$2:$A$888 = LOAP!Y72, Sheet2!$C$2:$C$888, "")))</f>
        <v/>
      </c>
      <c r="AI72" s="100"/>
      <c r="AJ72" s="100"/>
      <c r="AK72" s="100"/>
      <c r="AL72" s="100" t="str">
        <f t="shared" si="1"/>
        <v xml:space="preserve"> </v>
      </c>
      <c r="AM72" s="108"/>
      <c r="AN72" s="108"/>
      <c r="AO72" s="108"/>
      <c r="AP72" s="108"/>
      <c r="AQ72" s="100"/>
      <c r="AR72" s="108"/>
      <c r="AS72" s="108"/>
      <c r="AT72" s="108"/>
      <c r="AU72" s="122"/>
    </row>
    <row r="73" spans="1:47" ht="15" customHeight="1" x14ac:dyDescent="0.25">
      <c r="A73" s="42">
        <f t="shared" si="2"/>
        <v>55</v>
      </c>
      <c r="B73" s="108"/>
      <c r="C73" s="108"/>
      <c r="D73" s="108"/>
      <c r="E73" s="108"/>
      <c r="F73" s="100"/>
      <c r="G73" s="62"/>
      <c r="H73" s="63"/>
      <c r="I73" s="108"/>
      <c r="J73" s="108"/>
      <c r="K73" s="108"/>
      <c r="L73" s="111"/>
      <c r="M73" s="108"/>
      <c r="N73" s="108"/>
      <c r="O73" s="107"/>
      <c r="P73" s="45"/>
      <c r="Q73" s="45"/>
      <c r="R73" s="100"/>
      <c r="S73" s="100"/>
      <c r="T73" s="108"/>
      <c r="U73" s="108"/>
      <c r="V73" s="108"/>
      <c r="W73" s="108"/>
      <c r="X73" s="100"/>
      <c r="Y73" s="108"/>
      <c r="Z73" s="108"/>
      <c r="AA73" s="108"/>
      <c r="AB73" s="109" t="str">
        <f>IF(Y73&lt;&gt;"", VLOOKUP(Y73, CBH_Taxonomies!C:D, 2, 0), "")</f>
        <v/>
      </c>
      <c r="AC73" s="109"/>
      <c r="AD73" s="109"/>
      <c r="AE73" s="109"/>
      <c r="AF73" s="109"/>
      <c r="AG73" s="102" t="str" cm="1">
        <f t="array" ref="AG73">_xlfn.TEXTJOIN(", ", TRUE, _xlfn.UNIQUE(IF(Sheet2!$A$2:$A$888 = LOAP!Y73, Sheet2!$B$2:$B$888, "")))</f>
        <v/>
      </c>
      <c r="AH73" s="102" t="str" cm="1">
        <f t="array" ref="AH73">_xlfn.TEXTJOIN(", ", TRUE, _xlfn.UNIQUE(IF(Sheet2!$A$2:$A$888 = LOAP!Y73, Sheet2!$C$2:$C$888, "")))</f>
        <v/>
      </c>
      <c r="AI73" s="100"/>
      <c r="AJ73" s="100"/>
      <c r="AK73" s="100"/>
      <c r="AL73" s="100" t="str">
        <f t="shared" si="1"/>
        <v xml:space="preserve"> </v>
      </c>
      <c r="AM73" s="108"/>
      <c r="AN73" s="108"/>
      <c r="AO73" s="108"/>
      <c r="AP73" s="108"/>
      <c r="AQ73" s="100"/>
      <c r="AR73" s="108"/>
      <c r="AS73" s="108"/>
      <c r="AT73" s="108"/>
      <c r="AU73" s="122"/>
    </row>
    <row r="74" spans="1:47" ht="15" customHeight="1" x14ac:dyDescent="0.25">
      <c r="A74" s="42">
        <f t="shared" si="2"/>
        <v>56</v>
      </c>
      <c r="B74" s="108"/>
      <c r="C74" s="108"/>
      <c r="D74" s="108"/>
      <c r="E74" s="108"/>
      <c r="F74" s="100"/>
      <c r="G74" s="62"/>
      <c r="H74" s="63"/>
      <c r="I74" s="108"/>
      <c r="J74" s="108"/>
      <c r="K74" s="108"/>
      <c r="L74" s="111"/>
      <c r="M74" s="108"/>
      <c r="N74" s="108"/>
      <c r="O74" s="107"/>
      <c r="P74" s="45"/>
      <c r="Q74" s="45"/>
      <c r="R74" s="100"/>
      <c r="S74" s="100"/>
      <c r="T74" s="108"/>
      <c r="U74" s="108"/>
      <c r="V74" s="108"/>
      <c r="W74" s="108"/>
      <c r="X74" s="100"/>
      <c r="Y74" s="108"/>
      <c r="Z74" s="108"/>
      <c r="AA74" s="108"/>
      <c r="AB74" s="109" t="str">
        <f>IF(Y74&lt;&gt;"", VLOOKUP(Y74, CBH_Taxonomies!C:D, 2, 0), "")</f>
        <v/>
      </c>
      <c r="AC74" s="109"/>
      <c r="AD74" s="109"/>
      <c r="AE74" s="109"/>
      <c r="AF74" s="109"/>
      <c r="AG74" s="102" t="str" cm="1">
        <f t="array" ref="AG74">_xlfn.TEXTJOIN(", ", TRUE, _xlfn.UNIQUE(IF(Sheet2!$A$2:$A$888 = LOAP!Y74, Sheet2!$B$2:$B$888, "")))</f>
        <v/>
      </c>
      <c r="AH74" s="102" t="str" cm="1">
        <f t="array" ref="AH74">_xlfn.TEXTJOIN(", ", TRUE, _xlfn.UNIQUE(IF(Sheet2!$A$2:$A$888 = LOAP!Y74, Sheet2!$C$2:$C$888, "")))</f>
        <v/>
      </c>
      <c r="AI74" s="100"/>
      <c r="AJ74" s="100"/>
      <c r="AK74" s="100"/>
      <c r="AL74" s="100" t="str">
        <f t="shared" si="1"/>
        <v xml:space="preserve"> </v>
      </c>
      <c r="AM74" s="108"/>
      <c r="AN74" s="108"/>
      <c r="AO74" s="108"/>
      <c r="AP74" s="108"/>
      <c r="AQ74" s="100"/>
      <c r="AR74" s="108"/>
      <c r="AS74" s="108"/>
      <c r="AT74" s="108"/>
      <c r="AU74" s="122"/>
    </row>
    <row r="75" spans="1:47" ht="15" customHeight="1" x14ac:dyDescent="0.25">
      <c r="A75" s="42">
        <f t="shared" si="2"/>
        <v>57</v>
      </c>
      <c r="B75" s="108"/>
      <c r="C75" s="108"/>
      <c r="D75" s="108"/>
      <c r="E75" s="108"/>
      <c r="F75" s="100"/>
      <c r="G75" s="62"/>
      <c r="H75" s="63"/>
      <c r="I75" s="108"/>
      <c r="J75" s="108"/>
      <c r="K75" s="108"/>
      <c r="L75" s="111"/>
      <c r="M75" s="108"/>
      <c r="N75" s="108"/>
      <c r="O75" s="107"/>
      <c r="P75" s="45"/>
      <c r="Q75" s="45"/>
      <c r="R75" s="100"/>
      <c r="S75" s="100"/>
      <c r="T75" s="108"/>
      <c r="U75" s="108"/>
      <c r="V75" s="108"/>
      <c r="W75" s="108"/>
      <c r="X75" s="100"/>
      <c r="Y75" s="108"/>
      <c r="Z75" s="108"/>
      <c r="AA75" s="108"/>
      <c r="AB75" s="109" t="str">
        <f>IF(Y75&lt;&gt;"", VLOOKUP(Y75, CBH_Taxonomies!C:D, 2, 0), "")</f>
        <v/>
      </c>
      <c r="AC75" s="109"/>
      <c r="AD75" s="109"/>
      <c r="AE75" s="109"/>
      <c r="AF75" s="109"/>
      <c r="AG75" s="102" t="str" cm="1">
        <f t="array" ref="AG75">_xlfn.TEXTJOIN(", ", TRUE, _xlfn.UNIQUE(IF(Sheet2!$A$2:$A$888 = LOAP!Y75, Sheet2!$B$2:$B$888, "")))</f>
        <v/>
      </c>
      <c r="AH75" s="102" t="str" cm="1">
        <f t="array" ref="AH75">_xlfn.TEXTJOIN(", ", TRUE, _xlfn.UNIQUE(IF(Sheet2!$A$2:$A$888 = LOAP!Y75, Sheet2!$C$2:$C$888, "")))</f>
        <v/>
      </c>
      <c r="AI75" s="100"/>
      <c r="AJ75" s="100"/>
      <c r="AK75" s="100"/>
      <c r="AL75" s="100" t="str">
        <f t="shared" si="1"/>
        <v xml:space="preserve"> </v>
      </c>
      <c r="AM75" s="108"/>
      <c r="AN75" s="108"/>
      <c r="AO75" s="108"/>
      <c r="AP75" s="108"/>
      <c r="AQ75" s="100"/>
      <c r="AR75" s="108"/>
      <c r="AS75" s="108"/>
      <c r="AT75" s="108"/>
      <c r="AU75" s="122"/>
    </row>
    <row r="76" spans="1:47" ht="15" customHeight="1" x14ac:dyDescent="0.25">
      <c r="A76" s="42">
        <f t="shared" si="2"/>
        <v>58</v>
      </c>
      <c r="B76" s="108"/>
      <c r="C76" s="108"/>
      <c r="D76" s="108"/>
      <c r="E76" s="108"/>
      <c r="F76" s="100"/>
      <c r="G76" s="62"/>
      <c r="H76" s="63"/>
      <c r="I76" s="108"/>
      <c r="J76" s="108"/>
      <c r="K76" s="108"/>
      <c r="L76" s="111"/>
      <c r="M76" s="108"/>
      <c r="N76" s="108"/>
      <c r="O76" s="107"/>
      <c r="P76" s="45"/>
      <c r="Q76" s="45"/>
      <c r="R76" s="100"/>
      <c r="S76" s="100"/>
      <c r="T76" s="108"/>
      <c r="U76" s="108"/>
      <c r="V76" s="108"/>
      <c r="W76" s="108"/>
      <c r="X76" s="100"/>
      <c r="Y76" s="108"/>
      <c r="Z76" s="108"/>
      <c r="AA76" s="108"/>
      <c r="AB76" s="109" t="str">
        <f>IF(Y76&lt;&gt;"", VLOOKUP(Y76, CBH_Taxonomies!C:D, 2, 0), "")</f>
        <v/>
      </c>
      <c r="AC76" s="109"/>
      <c r="AD76" s="109"/>
      <c r="AE76" s="109"/>
      <c r="AF76" s="109"/>
      <c r="AG76" s="102" t="str" cm="1">
        <f t="array" ref="AG76">_xlfn.TEXTJOIN(", ", TRUE, _xlfn.UNIQUE(IF(Sheet2!$A$2:$A$888 = LOAP!Y76, Sheet2!$B$2:$B$888, "")))</f>
        <v/>
      </c>
      <c r="AH76" s="102" t="str" cm="1">
        <f t="array" ref="AH76">_xlfn.TEXTJOIN(", ", TRUE, _xlfn.UNIQUE(IF(Sheet2!$A$2:$A$888 = LOAP!Y76, Sheet2!$C$2:$C$888, "")))</f>
        <v/>
      </c>
      <c r="AI76" s="100"/>
      <c r="AJ76" s="100"/>
      <c r="AK76" s="100"/>
      <c r="AL76" s="100" t="str">
        <f t="shared" si="1"/>
        <v xml:space="preserve"> </v>
      </c>
      <c r="AM76" s="108"/>
      <c r="AN76" s="108"/>
      <c r="AO76" s="108"/>
      <c r="AP76" s="108"/>
      <c r="AQ76" s="100"/>
      <c r="AR76" s="108"/>
      <c r="AS76" s="108"/>
      <c r="AT76" s="108"/>
      <c r="AU76" s="122"/>
    </row>
    <row r="77" spans="1:47" ht="15" customHeight="1" x14ac:dyDescent="0.25">
      <c r="A77" s="42">
        <f t="shared" si="2"/>
        <v>59</v>
      </c>
      <c r="B77" s="108"/>
      <c r="C77" s="108"/>
      <c r="D77" s="108"/>
      <c r="E77" s="108"/>
      <c r="F77" s="100"/>
      <c r="G77" s="62"/>
      <c r="H77" s="63"/>
      <c r="I77" s="108"/>
      <c r="J77" s="108"/>
      <c r="K77" s="108"/>
      <c r="L77" s="111"/>
      <c r="M77" s="108"/>
      <c r="N77" s="108"/>
      <c r="O77" s="107"/>
      <c r="P77" s="45"/>
      <c r="Q77" s="45"/>
      <c r="R77" s="100"/>
      <c r="S77" s="100"/>
      <c r="T77" s="108"/>
      <c r="U77" s="108"/>
      <c r="V77" s="108"/>
      <c r="W77" s="108"/>
      <c r="X77" s="100"/>
      <c r="Y77" s="108"/>
      <c r="Z77" s="108"/>
      <c r="AA77" s="108"/>
      <c r="AB77" s="109" t="str">
        <f>IF(Y77&lt;&gt;"", VLOOKUP(Y77, CBH_Taxonomies!C:D, 2, 0), "")</f>
        <v/>
      </c>
      <c r="AC77" s="109"/>
      <c r="AD77" s="109"/>
      <c r="AE77" s="109"/>
      <c r="AF77" s="109"/>
      <c r="AG77" s="102" t="str" cm="1">
        <f t="array" ref="AG77">_xlfn.TEXTJOIN(", ", TRUE, _xlfn.UNIQUE(IF(Sheet2!$A$2:$A$888 = LOAP!Y77, Sheet2!$B$2:$B$888, "")))</f>
        <v/>
      </c>
      <c r="AH77" s="102" t="str" cm="1">
        <f t="array" ref="AH77">_xlfn.TEXTJOIN(", ", TRUE, _xlfn.UNIQUE(IF(Sheet2!$A$2:$A$888 = LOAP!Y77, Sheet2!$C$2:$C$888, "")))</f>
        <v/>
      </c>
      <c r="AI77" s="100"/>
      <c r="AJ77" s="100"/>
      <c r="AK77" s="100"/>
      <c r="AL77" s="100" t="str">
        <f t="shared" si="1"/>
        <v xml:space="preserve"> </v>
      </c>
      <c r="AM77" s="108"/>
      <c r="AN77" s="108"/>
      <c r="AO77" s="108"/>
      <c r="AP77" s="108"/>
      <c r="AQ77" s="100"/>
      <c r="AR77" s="108"/>
      <c r="AS77" s="108"/>
      <c r="AT77" s="108"/>
      <c r="AU77" s="122"/>
    </row>
    <row r="78" spans="1:47" ht="15" customHeight="1" x14ac:dyDescent="0.25">
      <c r="A78" s="42">
        <f t="shared" si="2"/>
        <v>60</v>
      </c>
      <c r="B78" s="108"/>
      <c r="C78" s="108"/>
      <c r="D78" s="108"/>
      <c r="E78" s="108"/>
      <c r="F78" s="100"/>
      <c r="G78" s="62"/>
      <c r="H78" s="63"/>
      <c r="I78" s="108"/>
      <c r="J78" s="108"/>
      <c r="K78" s="108"/>
      <c r="L78" s="111"/>
      <c r="M78" s="108"/>
      <c r="N78" s="108"/>
      <c r="O78" s="107"/>
      <c r="P78" s="45"/>
      <c r="Q78" s="45"/>
      <c r="R78" s="100"/>
      <c r="S78" s="100"/>
      <c r="T78" s="108"/>
      <c r="U78" s="108"/>
      <c r="V78" s="108"/>
      <c r="W78" s="108"/>
      <c r="X78" s="100"/>
      <c r="Y78" s="108"/>
      <c r="Z78" s="108"/>
      <c r="AA78" s="108"/>
      <c r="AB78" s="109" t="str">
        <f>IF(Y78&lt;&gt;"", VLOOKUP(Y78, CBH_Taxonomies!C:D, 2, 0), "")</f>
        <v/>
      </c>
      <c r="AC78" s="109"/>
      <c r="AD78" s="109"/>
      <c r="AE78" s="109"/>
      <c r="AF78" s="109"/>
      <c r="AG78" s="102" t="str" cm="1">
        <f t="array" ref="AG78">_xlfn.TEXTJOIN(", ", TRUE, _xlfn.UNIQUE(IF(Sheet2!$A$2:$A$888 = LOAP!Y78, Sheet2!$B$2:$B$888, "")))</f>
        <v/>
      </c>
      <c r="AH78" s="102" t="str" cm="1">
        <f t="array" ref="AH78">_xlfn.TEXTJOIN(", ", TRUE, _xlfn.UNIQUE(IF(Sheet2!$A$2:$A$888 = LOAP!Y78, Sheet2!$C$2:$C$888, "")))</f>
        <v/>
      </c>
      <c r="AI78" s="100"/>
      <c r="AJ78" s="100"/>
      <c r="AK78" s="100"/>
      <c r="AL78" s="100" t="str">
        <f t="shared" si="1"/>
        <v xml:space="preserve"> </v>
      </c>
      <c r="AM78" s="108"/>
      <c r="AN78" s="108"/>
      <c r="AO78" s="108"/>
      <c r="AP78" s="108"/>
      <c r="AQ78" s="100"/>
      <c r="AR78" s="108"/>
      <c r="AS78" s="108"/>
      <c r="AT78" s="108"/>
      <c r="AU78" s="122"/>
    </row>
    <row r="79" spans="1:47" ht="15" customHeight="1" x14ac:dyDescent="0.25">
      <c r="A79" s="42">
        <f t="shared" si="2"/>
        <v>61</v>
      </c>
      <c r="B79" s="108"/>
      <c r="C79" s="108"/>
      <c r="D79" s="108"/>
      <c r="E79" s="108"/>
      <c r="F79" s="100"/>
      <c r="G79" s="62"/>
      <c r="H79" s="63"/>
      <c r="I79" s="108"/>
      <c r="J79" s="108"/>
      <c r="K79" s="108"/>
      <c r="L79" s="111"/>
      <c r="M79" s="108"/>
      <c r="N79" s="108"/>
      <c r="O79" s="107"/>
      <c r="P79" s="45"/>
      <c r="Q79" s="45"/>
      <c r="R79" s="100"/>
      <c r="S79" s="100"/>
      <c r="T79" s="108"/>
      <c r="U79" s="108"/>
      <c r="V79" s="108"/>
      <c r="W79" s="108"/>
      <c r="X79" s="100"/>
      <c r="Y79" s="108"/>
      <c r="Z79" s="108"/>
      <c r="AA79" s="108"/>
      <c r="AB79" s="109" t="str">
        <f>IF(Y79&lt;&gt;"", VLOOKUP(Y79, CBH_Taxonomies!C:D, 2, 0), "")</f>
        <v/>
      </c>
      <c r="AC79" s="109"/>
      <c r="AD79" s="109"/>
      <c r="AE79" s="109"/>
      <c r="AF79" s="109"/>
      <c r="AG79" s="102" t="str" cm="1">
        <f t="array" ref="AG79">_xlfn.TEXTJOIN(", ", TRUE, _xlfn.UNIQUE(IF(Sheet2!$A$2:$A$888 = LOAP!Y79, Sheet2!$B$2:$B$888, "")))</f>
        <v/>
      </c>
      <c r="AH79" s="102" t="str" cm="1">
        <f t="array" ref="AH79">_xlfn.TEXTJOIN(", ", TRUE, _xlfn.UNIQUE(IF(Sheet2!$A$2:$A$888 = LOAP!Y79, Sheet2!$C$2:$C$888, "")))</f>
        <v/>
      </c>
      <c r="AI79" s="100"/>
      <c r="AJ79" s="100"/>
      <c r="AK79" s="100"/>
      <c r="AL79" s="100" t="str">
        <f t="shared" si="1"/>
        <v xml:space="preserve"> </v>
      </c>
      <c r="AM79" s="108"/>
      <c r="AN79" s="108"/>
      <c r="AO79" s="108"/>
      <c r="AP79" s="108"/>
      <c r="AQ79" s="100"/>
      <c r="AR79" s="108"/>
      <c r="AS79" s="108"/>
      <c r="AT79" s="108"/>
      <c r="AU79" s="122"/>
    </row>
    <row r="80" spans="1:47" ht="15" customHeight="1" x14ac:dyDescent="0.25">
      <c r="A80" s="42">
        <f t="shared" si="2"/>
        <v>62</v>
      </c>
      <c r="B80" s="108"/>
      <c r="C80" s="108"/>
      <c r="D80" s="108"/>
      <c r="E80" s="108"/>
      <c r="F80" s="100"/>
      <c r="G80" s="62"/>
      <c r="H80" s="63"/>
      <c r="I80" s="108"/>
      <c r="J80" s="108"/>
      <c r="K80" s="108"/>
      <c r="L80" s="111"/>
      <c r="M80" s="108"/>
      <c r="N80" s="108"/>
      <c r="O80" s="107"/>
      <c r="P80" s="45"/>
      <c r="Q80" s="45"/>
      <c r="R80" s="100"/>
      <c r="S80" s="100"/>
      <c r="T80" s="108"/>
      <c r="U80" s="108"/>
      <c r="V80" s="108"/>
      <c r="W80" s="108"/>
      <c r="X80" s="100"/>
      <c r="Y80" s="108"/>
      <c r="Z80" s="108"/>
      <c r="AA80" s="108"/>
      <c r="AB80" s="109" t="str">
        <f>IF(Y80&lt;&gt;"", VLOOKUP(Y80, CBH_Taxonomies!C:D, 2, 0), "")</f>
        <v/>
      </c>
      <c r="AC80" s="109"/>
      <c r="AD80" s="109"/>
      <c r="AE80" s="109"/>
      <c r="AF80" s="109"/>
      <c r="AG80" s="102" t="str" cm="1">
        <f t="array" ref="AG80">_xlfn.TEXTJOIN(", ", TRUE, _xlfn.UNIQUE(IF(Sheet2!$A$2:$A$888 = LOAP!Y80, Sheet2!$B$2:$B$888, "")))</f>
        <v/>
      </c>
      <c r="AH80" s="102" t="str" cm="1">
        <f t="array" ref="AH80">_xlfn.TEXTJOIN(", ", TRUE, _xlfn.UNIQUE(IF(Sheet2!$A$2:$A$888 = LOAP!Y80, Sheet2!$C$2:$C$888, "")))</f>
        <v/>
      </c>
      <c r="AI80" s="100"/>
      <c r="AJ80" s="100"/>
      <c r="AK80" s="100"/>
      <c r="AL80" s="100" t="str">
        <f t="shared" si="1"/>
        <v xml:space="preserve"> </v>
      </c>
      <c r="AM80" s="108"/>
      <c r="AN80" s="108"/>
      <c r="AO80" s="108"/>
      <c r="AP80" s="108"/>
      <c r="AQ80" s="100"/>
      <c r="AR80" s="108"/>
      <c r="AS80" s="108"/>
      <c r="AT80" s="108"/>
      <c r="AU80" s="122"/>
    </row>
    <row r="81" spans="1:47" ht="15" customHeight="1" x14ac:dyDescent="0.25">
      <c r="A81" s="42">
        <f t="shared" si="2"/>
        <v>63</v>
      </c>
      <c r="B81" s="108"/>
      <c r="C81" s="108"/>
      <c r="D81" s="108"/>
      <c r="E81" s="108"/>
      <c r="F81" s="100"/>
      <c r="G81" s="62"/>
      <c r="H81" s="63"/>
      <c r="I81" s="108"/>
      <c r="J81" s="108"/>
      <c r="K81" s="108"/>
      <c r="L81" s="111"/>
      <c r="M81" s="108"/>
      <c r="N81" s="108"/>
      <c r="O81" s="107"/>
      <c r="P81" s="45"/>
      <c r="Q81" s="45"/>
      <c r="R81" s="100"/>
      <c r="S81" s="100"/>
      <c r="T81" s="108"/>
      <c r="U81" s="108"/>
      <c r="V81" s="108"/>
      <c r="W81" s="108"/>
      <c r="X81" s="100"/>
      <c r="Y81" s="108"/>
      <c r="Z81" s="108"/>
      <c r="AA81" s="108"/>
      <c r="AB81" s="109" t="str">
        <f>IF(Y81&lt;&gt;"", VLOOKUP(Y81, CBH_Taxonomies!C:D, 2, 0), "")</f>
        <v/>
      </c>
      <c r="AC81" s="109"/>
      <c r="AD81" s="109"/>
      <c r="AE81" s="109"/>
      <c r="AF81" s="109"/>
      <c r="AG81" s="102" t="str" cm="1">
        <f t="array" ref="AG81">_xlfn.TEXTJOIN(", ", TRUE, _xlfn.UNIQUE(IF(Sheet2!$A$2:$A$888 = LOAP!Y81, Sheet2!$B$2:$B$888, "")))</f>
        <v/>
      </c>
      <c r="AH81" s="102" t="str" cm="1">
        <f t="array" ref="AH81">_xlfn.TEXTJOIN(", ", TRUE, _xlfn.UNIQUE(IF(Sheet2!$A$2:$A$888 = LOAP!Y81, Sheet2!$C$2:$C$888, "")))</f>
        <v/>
      </c>
      <c r="AI81" s="100"/>
      <c r="AJ81" s="100"/>
      <c r="AK81" s="100"/>
      <c r="AL81" s="100" t="str">
        <f t="shared" si="1"/>
        <v xml:space="preserve"> </v>
      </c>
      <c r="AM81" s="108"/>
      <c r="AN81" s="108"/>
      <c r="AO81" s="108"/>
      <c r="AP81" s="108"/>
      <c r="AQ81" s="100"/>
      <c r="AR81" s="108"/>
      <c r="AS81" s="108"/>
      <c r="AT81" s="108"/>
      <c r="AU81" s="122"/>
    </row>
    <row r="82" spans="1:47" ht="15" customHeight="1" x14ac:dyDescent="0.25">
      <c r="A82" s="42">
        <f t="shared" si="2"/>
        <v>64</v>
      </c>
      <c r="B82" s="108"/>
      <c r="C82" s="108"/>
      <c r="D82" s="108"/>
      <c r="E82" s="108"/>
      <c r="F82" s="100"/>
      <c r="G82" s="62"/>
      <c r="H82" s="63"/>
      <c r="I82" s="108"/>
      <c r="J82" s="108"/>
      <c r="K82" s="108"/>
      <c r="L82" s="111"/>
      <c r="M82" s="108"/>
      <c r="N82" s="108"/>
      <c r="O82" s="107"/>
      <c r="P82" s="45"/>
      <c r="Q82" s="45"/>
      <c r="R82" s="100"/>
      <c r="S82" s="100"/>
      <c r="T82" s="108"/>
      <c r="U82" s="108"/>
      <c r="V82" s="108"/>
      <c r="W82" s="108"/>
      <c r="X82" s="100"/>
      <c r="Y82" s="108"/>
      <c r="Z82" s="108"/>
      <c r="AA82" s="108"/>
      <c r="AB82" s="109" t="str">
        <f>IF(Y82&lt;&gt;"", VLOOKUP(Y82, CBH_Taxonomies!C:D, 2, 0), "")</f>
        <v/>
      </c>
      <c r="AC82" s="109"/>
      <c r="AD82" s="109"/>
      <c r="AE82" s="109"/>
      <c r="AF82" s="109"/>
      <c r="AG82" s="102" t="str" cm="1">
        <f t="array" ref="AG82">_xlfn.TEXTJOIN(", ", TRUE, _xlfn.UNIQUE(IF(Sheet2!$A$2:$A$888 = LOAP!Y82, Sheet2!$B$2:$B$888, "")))</f>
        <v/>
      </c>
      <c r="AH82" s="102" t="str" cm="1">
        <f t="array" ref="AH82">_xlfn.TEXTJOIN(", ", TRUE, _xlfn.UNIQUE(IF(Sheet2!$A$2:$A$888 = LOAP!Y82, Sheet2!$C$2:$C$888, "")))</f>
        <v/>
      </c>
      <c r="AI82" s="100"/>
      <c r="AJ82" s="100"/>
      <c r="AK82" s="100"/>
      <c r="AL82" s="100" t="str">
        <f t="shared" si="1"/>
        <v xml:space="preserve"> </v>
      </c>
      <c r="AM82" s="108"/>
      <c r="AN82" s="108"/>
      <c r="AO82" s="108"/>
      <c r="AP82" s="108"/>
      <c r="AQ82" s="100"/>
      <c r="AR82" s="108"/>
      <c r="AS82" s="108"/>
      <c r="AT82" s="108"/>
      <c r="AU82" s="122"/>
    </row>
    <row r="83" spans="1:47" ht="15" customHeight="1" x14ac:dyDescent="0.25">
      <c r="A83" s="42">
        <f t="shared" si="2"/>
        <v>65</v>
      </c>
      <c r="B83" s="108"/>
      <c r="C83" s="108"/>
      <c r="D83" s="108"/>
      <c r="E83" s="108"/>
      <c r="F83" s="100"/>
      <c r="G83" s="62"/>
      <c r="H83" s="63"/>
      <c r="I83" s="108"/>
      <c r="J83" s="108"/>
      <c r="K83" s="108"/>
      <c r="L83" s="111"/>
      <c r="M83" s="108"/>
      <c r="N83" s="108"/>
      <c r="O83" s="107"/>
      <c r="P83" s="45"/>
      <c r="Q83" s="45"/>
      <c r="R83" s="100"/>
      <c r="S83" s="100"/>
      <c r="T83" s="108"/>
      <c r="U83" s="108"/>
      <c r="V83" s="108"/>
      <c r="W83" s="108"/>
      <c r="X83" s="100"/>
      <c r="Y83" s="108"/>
      <c r="Z83" s="108"/>
      <c r="AA83" s="108"/>
      <c r="AB83" s="109" t="str">
        <f>IF(Y83&lt;&gt;"", VLOOKUP(Y83, CBH_Taxonomies!C:D, 2, 0), "")</f>
        <v/>
      </c>
      <c r="AC83" s="109"/>
      <c r="AD83" s="109"/>
      <c r="AE83" s="109"/>
      <c r="AF83" s="109"/>
      <c r="AG83" s="102" t="str" cm="1">
        <f t="array" ref="AG83">_xlfn.TEXTJOIN(", ", TRUE, _xlfn.UNIQUE(IF(Sheet2!$A$2:$A$888 = LOAP!Y83, Sheet2!$B$2:$B$888, "")))</f>
        <v/>
      </c>
      <c r="AH83" s="102" t="str" cm="1">
        <f t="array" ref="AH83">_xlfn.TEXTJOIN(", ", TRUE, _xlfn.UNIQUE(IF(Sheet2!$A$2:$A$888 = LOAP!Y83, Sheet2!$C$2:$C$888, "")))</f>
        <v/>
      </c>
      <c r="AI83" s="100"/>
      <c r="AJ83" s="100"/>
      <c r="AK83" s="100"/>
      <c r="AL83" s="100" t="str">
        <f t="shared" si="1"/>
        <v xml:space="preserve"> </v>
      </c>
      <c r="AM83" s="108"/>
      <c r="AN83" s="108"/>
      <c r="AO83" s="108"/>
      <c r="AP83" s="108"/>
      <c r="AQ83" s="100"/>
      <c r="AR83" s="108"/>
      <c r="AS83" s="108"/>
      <c r="AT83" s="108"/>
      <c r="AU83" s="122"/>
    </row>
    <row r="84" spans="1:47" ht="15" customHeight="1" x14ac:dyDescent="0.25">
      <c r="A84" s="42">
        <f t="shared" si="2"/>
        <v>66</v>
      </c>
      <c r="B84" s="108"/>
      <c r="C84" s="108"/>
      <c r="D84" s="108"/>
      <c r="E84" s="108"/>
      <c r="F84" s="100"/>
      <c r="G84" s="62"/>
      <c r="H84" s="63"/>
      <c r="I84" s="108"/>
      <c r="J84" s="108"/>
      <c r="K84" s="108"/>
      <c r="L84" s="111"/>
      <c r="M84" s="108"/>
      <c r="N84" s="108"/>
      <c r="O84" s="107"/>
      <c r="P84" s="45"/>
      <c r="Q84" s="45"/>
      <c r="R84" s="100"/>
      <c r="S84" s="100"/>
      <c r="T84" s="108"/>
      <c r="U84" s="108"/>
      <c r="V84" s="108"/>
      <c r="W84" s="108"/>
      <c r="X84" s="100"/>
      <c r="Y84" s="108"/>
      <c r="Z84" s="108"/>
      <c r="AA84" s="108"/>
      <c r="AB84" s="109" t="str">
        <f>IF(Y84&lt;&gt;"", VLOOKUP(Y84, CBH_Taxonomies!C:D, 2, 0), "")</f>
        <v/>
      </c>
      <c r="AC84" s="109"/>
      <c r="AD84" s="109"/>
      <c r="AE84" s="109"/>
      <c r="AF84" s="109"/>
      <c r="AG84" s="102" t="str" cm="1">
        <f t="array" ref="AG84">_xlfn.TEXTJOIN(", ", TRUE, _xlfn.UNIQUE(IF(Sheet2!$A$2:$A$888 = LOAP!Y84, Sheet2!$B$2:$B$888, "")))</f>
        <v/>
      </c>
      <c r="AH84" s="102" t="str" cm="1">
        <f t="array" ref="AH84">_xlfn.TEXTJOIN(", ", TRUE, _xlfn.UNIQUE(IF(Sheet2!$A$2:$A$888 = LOAP!Y84, Sheet2!$C$2:$C$888, "")))</f>
        <v/>
      </c>
      <c r="AI84" s="100"/>
      <c r="AJ84" s="100"/>
      <c r="AK84" s="100"/>
      <c r="AL84" s="100" t="str">
        <f t="shared" ref="AL84:AL118" si="3">IF(ISBLANK(B84)," ","Y")</f>
        <v xml:space="preserve"> </v>
      </c>
      <c r="AM84" s="108"/>
      <c r="AN84" s="108"/>
      <c r="AO84" s="108"/>
      <c r="AP84" s="108"/>
      <c r="AQ84" s="100"/>
      <c r="AR84" s="108"/>
      <c r="AS84" s="108"/>
      <c r="AT84" s="108"/>
      <c r="AU84" s="122"/>
    </row>
    <row r="85" spans="1:47" ht="15" customHeight="1" x14ac:dyDescent="0.25">
      <c r="A85" s="42">
        <f t="shared" ref="A85:A118" si="4">A84+1</f>
        <v>67</v>
      </c>
      <c r="B85" s="108"/>
      <c r="C85" s="108"/>
      <c r="D85" s="108"/>
      <c r="E85" s="108"/>
      <c r="F85" s="100"/>
      <c r="G85" s="62"/>
      <c r="H85" s="63"/>
      <c r="I85" s="108"/>
      <c r="J85" s="108"/>
      <c r="K85" s="108"/>
      <c r="L85" s="111"/>
      <c r="M85" s="108"/>
      <c r="N85" s="108"/>
      <c r="O85" s="107"/>
      <c r="P85" s="45"/>
      <c r="Q85" s="45"/>
      <c r="R85" s="100"/>
      <c r="S85" s="100"/>
      <c r="T85" s="108"/>
      <c r="U85" s="108"/>
      <c r="V85" s="108"/>
      <c r="W85" s="108"/>
      <c r="X85" s="100"/>
      <c r="Y85" s="108"/>
      <c r="Z85" s="108"/>
      <c r="AA85" s="108"/>
      <c r="AB85" s="109" t="str">
        <f>IF(Y85&lt;&gt;"", VLOOKUP(Y85, CBH_Taxonomies!C:D, 2, 0), "")</f>
        <v/>
      </c>
      <c r="AC85" s="109"/>
      <c r="AD85" s="109"/>
      <c r="AE85" s="109"/>
      <c r="AF85" s="109"/>
      <c r="AG85" s="102" t="str" cm="1">
        <f t="array" ref="AG85">_xlfn.TEXTJOIN(", ", TRUE, _xlfn.UNIQUE(IF(Sheet2!$A$2:$A$888 = LOAP!Y85, Sheet2!$B$2:$B$888, "")))</f>
        <v/>
      </c>
      <c r="AH85" s="102" t="str" cm="1">
        <f t="array" ref="AH85">_xlfn.TEXTJOIN(", ", TRUE, _xlfn.UNIQUE(IF(Sheet2!$A$2:$A$888 = LOAP!Y85, Sheet2!$C$2:$C$888, "")))</f>
        <v/>
      </c>
      <c r="AI85" s="100"/>
      <c r="AJ85" s="100"/>
      <c r="AK85" s="100"/>
      <c r="AL85" s="100" t="str">
        <f t="shared" si="3"/>
        <v xml:space="preserve"> </v>
      </c>
      <c r="AM85" s="108"/>
      <c r="AN85" s="108"/>
      <c r="AO85" s="108"/>
      <c r="AP85" s="108"/>
      <c r="AQ85" s="100"/>
      <c r="AR85" s="108"/>
      <c r="AS85" s="108"/>
      <c r="AT85" s="108"/>
      <c r="AU85" s="122"/>
    </row>
    <row r="86" spans="1:47" ht="15" customHeight="1" x14ac:dyDescent="0.25">
      <c r="A86" s="42">
        <f t="shared" si="4"/>
        <v>68</v>
      </c>
      <c r="B86" s="108"/>
      <c r="C86" s="108"/>
      <c r="D86" s="108"/>
      <c r="E86" s="108"/>
      <c r="F86" s="100"/>
      <c r="G86" s="62"/>
      <c r="H86" s="63"/>
      <c r="I86" s="108"/>
      <c r="J86" s="108"/>
      <c r="K86" s="108"/>
      <c r="L86" s="111"/>
      <c r="M86" s="108"/>
      <c r="N86" s="108"/>
      <c r="O86" s="107"/>
      <c r="P86" s="45"/>
      <c r="Q86" s="45"/>
      <c r="R86" s="100"/>
      <c r="S86" s="100"/>
      <c r="T86" s="108"/>
      <c r="U86" s="108"/>
      <c r="V86" s="108"/>
      <c r="W86" s="108"/>
      <c r="X86" s="100"/>
      <c r="Y86" s="108"/>
      <c r="Z86" s="108"/>
      <c r="AA86" s="108"/>
      <c r="AB86" s="109" t="str">
        <f>IF(Y86&lt;&gt;"", VLOOKUP(Y86, CBH_Taxonomies!C:D, 2, 0), "")</f>
        <v/>
      </c>
      <c r="AC86" s="109"/>
      <c r="AD86" s="109"/>
      <c r="AE86" s="109"/>
      <c r="AF86" s="109"/>
      <c r="AG86" s="102" t="str" cm="1">
        <f t="array" ref="AG86">_xlfn.TEXTJOIN(", ", TRUE, _xlfn.UNIQUE(IF(Sheet2!$A$2:$A$888 = LOAP!Y86, Sheet2!$B$2:$B$888, "")))</f>
        <v/>
      </c>
      <c r="AH86" s="102" t="str" cm="1">
        <f t="array" ref="AH86">_xlfn.TEXTJOIN(", ", TRUE, _xlfn.UNIQUE(IF(Sheet2!$A$2:$A$888 = LOAP!Y86, Sheet2!$C$2:$C$888, "")))</f>
        <v/>
      </c>
      <c r="AI86" s="100"/>
      <c r="AJ86" s="100"/>
      <c r="AK86" s="100"/>
      <c r="AL86" s="100" t="str">
        <f t="shared" si="3"/>
        <v xml:space="preserve"> </v>
      </c>
      <c r="AM86" s="108"/>
      <c r="AN86" s="108"/>
      <c r="AO86" s="108"/>
      <c r="AP86" s="108"/>
      <c r="AQ86" s="100"/>
      <c r="AR86" s="108"/>
      <c r="AS86" s="108"/>
      <c r="AT86" s="108"/>
      <c r="AU86" s="122"/>
    </row>
    <row r="87" spans="1:47" ht="15" customHeight="1" x14ac:dyDescent="0.25">
      <c r="A87" s="42">
        <f t="shared" si="4"/>
        <v>69</v>
      </c>
      <c r="B87" s="108"/>
      <c r="C87" s="108"/>
      <c r="D87" s="108"/>
      <c r="E87" s="108"/>
      <c r="F87" s="100"/>
      <c r="G87" s="62"/>
      <c r="H87" s="63"/>
      <c r="I87" s="108"/>
      <c r="J87" s="108"/>
      <c r="K87" s="108"/>
      <c r="L87" s="111"/>
      <c r="M87" s="108"/>
      <c r="N87" s="108"/>
      <c r="O87" s="107"/>
      <c r="P87" s="45"/>
      <c r="Q87" s="45"/>
      <c r="R87" s="100"/>
      <c r="S87" s="100"/>
      <c r="T87" s="108"/>
      <c r="U87" s="108"/>
      <c r="V87" s="108"/>
      <c r="W87" s="108"/>
      <c r="X87" s="100"/>
      <c r="Y87" s="108"/>
      <c r="Z87" s="108"/>
      <c r="AA87" s="108"/>
      <c r="AB87" s="109" t="str">
        <f>IF(Y87&lt;&gt;"", VLOOKUP(Y87, CBH_Taxonomies!C:D, 2, 0), "")</f>
        <v/>
      </c>
      <c r="AC87" s="109"/>
      <c r="AD87" s="109"/>
      <c r="AE87" s="109"/>
      <c r="AF87" s="109"/>
      <c r="AG87" s="102" t="str" cm="1">
        <f t="array" ref="AG87">_xlfn.TEXTJOIN(", ", TRUE, _xlfn.UNIQUE(IF(Sheet2!$A$2:$A$888 = LOAP!Y87, Sheet2!$B$2:$B$888, "")))</f>
        <v/>
      </c>
      <c r="AH87" s="102" t="str" cm="1">
        <f t="array" ref="AH87">_xlfn.TEXTJOIN(", ", TRUE, _xlfn.UNIQUE(IF(Sheet2!$A$2:$A$888 = LOAP!Y87, Sheet2!$C$2:$C$888, "")))</f>
        <v/>
      </c>
      <c r="AI87" s="100"/>
      <c r="AJ87" s="100"/>
      <c r="AK87" s="100"/>
      <c r="AL87" s="100" t="str">
        <f t="shared" si="3"/>
        <v xml:space="preserve"> </v>
      </c>
      <c r="AM87" s="108"/>
      <c r="AN87" s="108"/>
      <c r="AO87" s="108"/>
      <c r="AP87" s="108"/>
      <c r="AQ87" s="100"/>
      <c r="AR87" s="108"/>
      <c r="AS87" s="108"/>
      <c r="AT87" s="108"/>
      <c r="AU87" s="122"/>
    </row>
    <row r="88" spans="1:47" ht="15" customHeight="1" x14ac:dyDescent="0.25">
      <c r="A88" s="42">
        <f t="shared" si="4"/>
        <v>70</v>
      </c>
      <c r="B88" s="108"/>
      <c r="C88" s="108"/>
      <c r="D88" s="108"/>
      <c r="E88" s="108"/>
      <c r="F88" s="100"/>
      <c r="G88" s="62"/>
      <c r="H88" s="63"/>
      <c r="I88" s="108"/>
      <c r="J88" s="108"/>
      <c r="K88" s="108"/>
      <c r="L88" s="111"/>
      <c r="M88" s="108"/>
      <c r="N88" s="108"/>
      <c r="O88" s="107"/>
      <c r="P88" s="45"/>
      <c r="Q88" s="45"/>
      <c r="R88" s="100"/>
      <c r="S88" s="100"/>
      <c r="T88" s="108"/>
      <c r="U88" s="108"/>
      <c r="V88" s="108"/>
      <c r="W88" s="108"/>
      <c r="X88" s="100"/>
      <c r="Y88" s="108"/>
      <c r="Z88" s="108"/>
      <c r="AA88" s="108"/>
      <c r="AB88" s="109" t="str">
        <f>IF(Y88&lt;&gt;"", VLOOKUP(Y88, CBH_Taxonomies!C:D, 2, 0), "")</f>
        <v/>
      </c>
      <c r="AC88" s="109"/>
      <c r="AD88" s="109"/>
      <c r="AE88" s="109"/>
      <c r="AF88" s="109"/>
      <c r="AG88" s="102" t="str" cm="1">
        <f t="array" ref="AG88">_xlfn.TEXTJOIN(", ", TRUE, _xlfn.UNIQUE(IF(Sheet2!$A$2:$A$888 = LOAP!Y88, Sheet2!$B$2:$B$888, "")))</f>
        <v/>
      </c>
      <c r="AH88" s="102" t="str" cm="1">
        <f t="array" ref="AH88">_xlfn.TEXTJOIN(", ", TRUE, _xlfn.UNIQUE(IF(Sheet2!$A$2:$A$888 = LOAP!Y88, Sheet2!$C$2:$C$888, "")))</f>
        <v/>
      </c>
      <c r="AI88" s="100"/>
      <c r="AJ88" s="100"/>
      <c r="AK88" s="100"/>
      <c r="AL88" s="100" t="str">
        <f t="shared" si="3"/>
        <v xml:space="preserve"> </v>
      </c>
      <c r="AM88" s="108"/>
      <c r="AN88" s="108"/>
      <c r="AO88" s="108"/>
      <c r="AP88" s="108"/>
      <c r="AQ88" s="100"/>
      <c r="AR88" s="108"/>
      <c r="AS88" s="108"/>
      <c r="AT88" s="108"/>
      <c r="AU88" s="122"/>
    </row>
    <row r="89" spans="1:47" ht="15" customHeight="1" x14ac:dyDescent="0.25">
      <c r="A89" s="42">
        <f t="shared" si="4"/>
        <v>71</v>
      </c>
      <c r="B89" s="108"/>
      <c r="C89" s="108"/>
      <c r="D89" s="108"/>
      <c r="E89" s="108"/>
      <c r="F89" s="100"/>
      <c r="G89" s="62"/>
      <c r="H89" s="63"/>
      <c r="I89" s="108"/>
      <c r="J89" s="108"/>
      <c r="K89" s="108"/>
      <c r="L89" s="111"/>
      <c r="M89" s="108"/>
      <c r="N89" s="108"/>
      <c r="O89" s="107"/>
      <c r="P89" s="45"/>
      <c r="Q89" s="45"/>
      <c r="R89" s="100"/>
      <c r="S89" s="100"/>
      <c r="T89" s="108"/>
      <c r="U89" s="108"/>
      <c r="V89" s="108"/>
      <c r="W89" s="108"/>
      <c r="X89" s="100"/>
      <c r="Y89" s="108"/>
      <c r="Z89" s="108"/>
      <c r="AA89" s="108"/>
      <c r="AB89" s="109" t="str">
        <f>IF(Y89&lt;&gt;"", VLOOKUP(Y89, CBH_Taxonomies!C:D, 2, 0), "")</f>
        <v/>
      </c>
      <c r="AC89" s="109"/>
      <c r="AD89" s="109"/>
      <c r="AE89" s="109"/>
      <c r="AF89" s="109"/>
      <c r="AG89" s="102" t="str" cm="1">
        <f t="array" ref="AG89">_xlfn.TEXTJOIN(", ", TRUE, _xlfn.UNIQUE(IF(Sheet2!$A$2:$A$888 = LOAP!Y89, Sheet2!$B$2:$B$888, "")))</f>
        <v/>
      </c>
      <c r="AH89" s="102" t="str" cm="1">
        <f t="array" ref="AH89">_xlfn.TEXTJOIN(", ", TRUE, _xlfn.UNIQUE(IF(Sheet2!$A$2:$A$888 = LOAP!Y89, Sheet2!$C$2:$C$888, "")))</f>
        <v/>
      </c>
      <c r="AI89" s="100"/>
      <c r="AJ89" s="100"/>
      <c r="AK89" s="100"/>
      <c r="AL89" s="100" t="str">
        <f t="shared" si="3"/>
        <v xml:space="preserve"> </v>
      </c>
      <c r="AM89" s="108"/>
      <c r="AN89" s="108"/>
      <c r="AO89" s="108"/>
      <c r="AP89" s="108"/>
      <c r="AQ89" s="100"/>
      <c r="AR89" s="108"/>
      <c r="AS89" s="108"/>
      <c r="AT89" s="108"/>
      <c r="AU89" s="122"/>
    </row>
    <row r="90" spans="1:47" ht="15" customHeight="1" x14ac:dyDescent="0.25">
      <c r="A90" s="42">
        <f t="shared" si="4"/>
        <v>72</v>
      </c>
      <c r="B90" s="108"/>
      <c r="C90" s="108"/>
      <c r="D90" s="108"/>
      <c r="E90" s="108"/>
      <c r="F90" s="100"/>
      <c r="G90" s="62"/>
      <c r="H90" s="63"/>
      <c r="I90" s="108"/>
      <c r="J90" s="108"/>
      <c r="K90" s="108"/>
      <c r="L90" s="111"/>
      <c r="M90" s="108"/>
      <c r="N90" s="108"/>
      <c r="O90" s="107"/>
      <c r="P90" s="45"/>
      <c r="Q90" s="45"/>
      <c r="R90" s="100"/>
      <c r="S90" s="100"/>
      <c r="T90" s="108"/>
      <c r="U90" s="108"/>
      <c r="V90" s="108"/>
      <c r="W90" s="108"/>
      <c r="X90" s="100"/>
      <c r="Y90" s="108"/>
      <c r="Z90" s="108"/>
      <c r="AA90" s="108"/>
      <c r="AB90" s="109" t="str">
        <f>IF(Y90&lt;&gt;"", VLOOKUP(Y90, CBH_Taxonomies!C:D, 2, 0), "")</f>
        <v/>
      </c>
      <c r="AC90" s="109"/>
      <c r="AD90" s="109"/>
      <c r="AE90" s="109"/>
      <c r="AF90" s="109"/>
      <c r="AG90" s="102" t="str" cm="1">
        <f t="array" ref="AG90">_xlfn.TEXTJOIN(", ", TRUE, _xlfn.UNIQUE(IF(Sheet2!$A$2:$A$888 = LOAP!Y90, Sheet2!$B$2:$B$888, "")))</f>
        <v/>
      </c>
      <c r="AH90" s="102" t="str" cm="1">
        <f t="array" ref="AH90">_xlfn.TEXTJOIN(", ", TRUE, _xlfn.UNIQUE(IF(Sheet2!$A$2:$A$888 = LOAP!Y90, Sheet2!$C$2:$C$888, "")))</f>
        <v/>
      </c>
      <c r="AI90" s="100"/>
      <c r="AJ90" s="100"/>
      <c r="AK90" s="100"/>
      <c r="AL90" s="100" t="str">
        <f t="shared" si="3"/>
        <v xml:space="preserve"> </v>
      </c>
      <c r="AM90" s="108"/>
      <c r="AN90" s="108"/>
      <c r="AO90" s="108"/>
      <c r="AP90" s="108"/>
      <c r="AQ90" s="100"/>
      <c r="AR90" s="108"/>
      <c r="AS90" s="108"/>
      <c r="AT90" s="108"/>
      <c r="AU90" s="122"/>
    </row>
    <row r="91" spans="1:47" ht="15" customHeight="1" x14ac:dyDescent="0.25">
      <c r="A91" s="42">
        <f t="shared" si="4"/>
        <v>73</v>
      </c>
      <c r="B91" s="108"/>
      <c r="C91" s="108"/>
      <c r="D91" s="108"/>
      <c r="E91" s="108"/>
      <c r="F91" s="100"/>
      <c r="G91" s="62"/>
      <c r="H91" s="63"/>
      <c r="I91" s="108"/>
      <c r="J91" s="108"/>
      <c r="K91" s="108"/>
      <c r="L91" s="111"/>
      <c r="M91" s="108"/>
      <c r="N91" s="108"/>
      <c r="O91" s="107"/>
      <c r="P91" s="45"/>
      <c r="Q91" s="45"/>
      <c r="R91" s="100"/>
      <c r="S91" s="100"/>
      <c r="T91" s="108"/>
      <c r="U91" s="108"/>
      <c r="V91" s="108"/>
      <c r="W91" s="108"/>
      <c r="X91" s="100"/>
      <c r="Y91" s="108"/>
      <c r="Z91" s="108"/>
      <c r="AA91" s="108"/>
      <c r="AB91" s="109" t="str">
        <f>IF(Y91&lt;&gt;"", VLOOKUP(Y91, CBH_Taxonomies!C:D, 2, 0), "")</f>
        <v/>
      </c>
      <c r="AC91" s="109"/>
      <c r="AD91" s="109"/>
      <c r="AE91" s="109"/>
      <c r="AF91" s="109"/>
      <c r="AG91" s="102" t="str" cm="1">
        <f t="array" ref="AG91">_xlfn.TEXTJOIN(", ", TRUE, _xlfn.UNIQUE(IF(Sheet2!$A$2:$A$888 = LOAP!Y91, Sheet2!$B$2:$B$888, "")))</f>
        <v/>
      </c>
      <c r="AH91" s="102" t="str" cm="1">
        <f t="array" ref="AH91">_xlfn.TEXTJOIN(", ", TRUE, _xlfn.UNIQUE(IF(Sheet2!$A$2:$A$888 = LOAP!Y91, Sheet2!$C$2:$C$888, "")))</f>
        <v/>
      </c>
      <c r="AI91" s="100"/>
      <c r="AJ91" s="100"/>
      <c r="AK91" s="100"/>
      <c r="AL91" s="100" t="str">
        <f t="shared" si="3"/>
        <v xml:space="preserve"> </v>
      </c>
      <c r="AM91" s="108"/>
      <c r="AN91" s="108"/>
      <c r="AO91" s="108"/>
      <c r="AP91" s="108"/>
      <c r="AQ91" s="100"/>
      <c r="AR91" s="108"/>
      <c r="AS91" s="108"/>
      <c r="AT91" s="108"/>
      <c r="AU91" s="122"/>
    </row>
    <row r="92" spans="1:47" ht="15" customHeight="1" x14ac:dyDescent="0.25">
      <c r="A92" s="42">
        <f t="shared" si="4"/>
        <v>74</v>
      </c>
      <c r="B92" s="108"/>
      <c r="C92" s="108"/>
      <c r="D92" s="108"/>
      <c r="E92" s="108"/>
      <c r="F92" s="100"/>
      <c r="G92" s="62"/>
      <c r="H92" s="63"/>
      <c r="I92" s="108"/>
      <c r="J92" s="108"/>
      <c r="K92" s="108"/>
      <c r="L92" s="111"/>
      <c r="M92" s="108"/>
      <c r="N92" s="108"/>
      <c r="O92" s="107"/>
      <c r="P92" s="45"/>
      <c r="Q92" s="45"/>
      <c r="R92" s="100"/>
      <c r="S92" s="100"/>
      <c r="T92" s="108"/>
      <c r="U92" s="108"/>
      <c r="V92" s="108"/>
      <c r="W92" s="108"/>
      <c r="X92" s="100"/>
      <c r="Y92" s="108"/>
      <c r="Z92" s="108"/>
      <c r="AA92" s="108"/>
      <c r="AB92" s="109" t="str">
        <f>IF(Y92&lt;&gt;"", VLOOKUP(Y92, CBH_Taxonomies!C:D, 2, 0), "")</f>
        <v/>
      </c>
      <c r="AC92" s="109"/>
      <c r="AD92" s="109"/>
      <c r="AE92" s="109"/>
      <c r="AF92" s="109"/>
      <c r="AG92" s="102" t="str" cm="1">
        <f t="array" ref="AG92">_xlfn.TEXTJOIN(", ", TRUE, _xlfn.UNIQUE(IF(Sheet2!$A$2:$A$888 = LOAP!Y92, Sheet2!$B$2:$B$888, "")))</f>
        <v/>
      </c>
      <c r="AH92" s="102" t="str" cm="1">
        <f t="array" ref="AH92">_xlfn.TEXTJOIN(", ", TRUE, _xlfn.UNIQUE(IF(Sheet2!$A$2:$A$888 = LOAP!Y92, Sheet2!$C$2:$C$888, "")))</f>
        <v/>
      </c>
      <c r="AI92" s="100"/>
      <c r="AJ92" s="100"/>
      <c r="AK92" s="100"/>
      <c r="AL92" s="100" t="str">
        <f t="shared" si="3"/>
        <v xml:space="preserve"> </v>
      </c>
      <c r="AM92" s="108"/>
      <c r="AN92" s="108"/>
      <c r="AO92" s="108"/>
      <c r="AP92" s="108"/>
      <c r="AQ92" s="100"/>
      <c r="AR92" s="108"/>
      <c r="AS92" s="108"/>
      <c r="AT92" s="108"/>
      <c r="AU92" s="122"/>
    </row>
    <row r="93" spans="1:47" ht="15" customHeight="1" x14ac:dyDescent="0.25">
      <c r="A93" s="42">
        <f t="shared" si="4"/>
        <v>75</v>
      </c>
      <c r="B93" s="108"/>
      <c r="C93" s="108"/>
      <c r="D93" s="108"/>
      <c r="E93" s="108"/>
      <c r="F93" s="100"/>
      <c r="G93" s="62"/>
      <c r="H93" s="63"/>
      <c r="I93" s="108"/>
      <c r="J93" s="108"/>
      <c r="K93" s="108"/>
      <c r="L93" s="111"/>
      <c r="M93" s="108"/>
      <c r="N93" s="108"/>
      <c r="O93" s="107"/>
      <c r="P93" s="45"/>
      <c r="Q93" s="45"/>
      <c r="R93" s="100"/>
      <c r="S93" s="100"/>
      <c r="T93" s="108"/>
      <c r="U93" s="108"/>
      <c r="V93" s="108"/>
      <c r="W93" s="108"/>
      <c r="X93" s="100"/>
      <c r="Y93" s="108"/>
      <c r="Z93" s="108"/>
      <c r="AA93" s="108"/>
      <c r="AB93" s="109" t="str">
        <f>IF(Y93&lt;&gt;"", VLOOKUP(Y93, CBH_Taxonomies!C:D, 2, 0), "")</f>
        <v/>
      </c>
      <c r="AC93" s="109"/>
      <c r="AD93" s="109"/>
      <c r="AE93" s="109"/>
      <c r="AF93" s="109"/>
      <c r="AG93" s="102" t="str" cm="1">
        <f t="array" ref="AG93">_xlfn.TEXTJOIN(", ", TRUE, _xlfn.UNIQUE(IF(Sheet2!$A$2:$A$888 = LOAP!Y93, Sheet2!$B$2:$B$888, "")))</f>
        <v/>
      </c>
      <c r="AH93" s="102" t="str" cm="1">
        <f t="array" ref="AH93">_xlfn.TEXTJOIN(", ", TRUE, _xlfn.UNIQUE(IF(Sheet2!$A$2:$A$888 = LOAP!Y93, Sheet2!$C$2:$C$888, "")))</f>
        <v/>
      </c>
      <c r="AI93" s="100"/>
      <c r="AJ93" s="100"/>
      <c r="AK93" s="100"/>
      <c r="AL93" s="100" t="str">
        <f t="shared" si="3"/>
        <v xml:space="preserve"> </v>
      </c>
      <c r="AM93" s="108"/>
      <c r="AN93" s="108"/>
      <c r="AO93" s="108"/>
      <c r="AP93" s="108"/>
      <c r="AQ93" s="100"/>
      <c r="AR93" s="108"/>
      <c r="AS93" s="108"/>
      <c r="AT93" s="108"/>
      <c r="AU93" s="122"/>
    </row>
    <row r="94" spans="1:47" ht="15" customHeight="1" x14ac:dyDescent="0.25">
      <c r="A94" s="42">
        <f t="shared" si="4"/>
        <v>76</v>
      </c>
      <c r="B94" s="108"/>
      <c r="C94" s="108"/>
      <c r="D94" s="108"/>
      <c r="E94" s="108"/>
      <c r="F94" s="100"/>
      <c r="G94" s="62"/>
      <c r="H94" s="63"/>
      <c r="I94" s="108"/>
      <c r="J94" s="108"/>
      <c r="K94" s="108"/>
      <c r="L94" s="111"/>
      <c r="M94" s="108"/>
      <c r="N94" s="108"/>
      <c r="O94" s="107"/>
      <c r="P94" s="45"/>
      <c r="Q94" s="45"/>
      <c r="R94" s="100"/>
      <c r="S94" s="100"/>
      <c r="T94" s="108"/>
      <c r="U94" s="108"/>
      <c r="V94" s="108"/>
      <c r="W94" s="108"/>
      <c r="X94" s="100"/>
      <c r="Y94" s="108"/>
      <c r="Z94" s="108"/>
      <c r="AA94" s="108"/>
      <c r="AB94" s="109" t="str">
        <f>IF(Y94&lt;&gt;"", VLOOKUP(Y94, CBH_Taxonomies!C:D, 2, 0), "")</f>
        <v/>
      </c>
      <c r="AC94" s="109"/>
      <c r="AD94" s="109"/>
      <c r="AE94" s="109"/>
      <c r="AF94" s="109"/>
      <c r="AG94" s="102" t="str" cm="1">
        <f t="array" ref="AG94">_xlfn.TEXTJOIN(", ", TRUE, _xlfn.UNIQUE(IF(Sheet2!$A$2:$A$888 = LOAP!Y94, Sheet2!$B$2:$B$888, "")))</f>
        <v/>
      </c>
      <c r="AH94" s="102" t="str" cm="1">
        <f t="array" ref="AH94">_xlfn.TEXTJOIN(", ", TRUE, _xlfn.UNIQUE(IF(Sheet2!$A$2:$A$888 = LOAP!Y94, Sheet2!$C$2:$C$888, "")))</f>
        <v/>
      </c>
      <c r="AI94" s="100"/>
      <c r="AJ94" s="100"/>
      <c r="AK94" s="100"/>
      <c r="AL94" s="100" t="str">
        <f t="shared" si="3"/>
        <v xml:space="preserve"> </v>
      </c>
      <c r="AM94" s="108"/>
      <c r="AN94" s="108"/>
      <c r="AO94" s="108"/>
      <c r="AP94" s="108"/>
      <c r="AQ94" s="100"/>
      <c r="AR94" s="108"/>
      <c r="AS94" s="108"/>
      <c r="AT94" s="108"/>
      <c r="AU94" s="122"/>
    </row>
    <row r="95" spans="1:47" ht="15" customHeight="1" x14ac:dyDescent="0.25">
      <c r="A95" s="42">
        <f t="shared" si="4"/>
        <v>77</v>
      </c>
      <c r="B95" s="108"/>
      <c r="C95" s="108"/>
      <c r="D95" s="108"/>
      <c r="E95" s="108"/>
      <c r="F95" s="100"/>
      <c r="G95" s="62"/>
      <c r="H95" s="63"/>
      <c r="I95" s="108"/>
      <c r="J95" s="108"/>
      <c r="K95" s="108"/>
      <c r="L95" s="111"/>
      <c r="M95" s="108"/>
      <c r="N95" s="108"/>
      <c r="O95" s="107"/>
      <c r="P95" s="45"/>
      <c r="Q95" s="45"/>
      <c r="R95" s="100"/>
      <c r="S95" s="100"/>
      <c r="T95" s="108"/>
      <c r="U95" s="108"/>
      <c r="V95" s="108"/>
      <c r="W95" s="108"/>
      <c r="X95" s="100"/>
      <c r="Y95" s="108"/>
      <c r="Z95" s="108"/>
      <c r="AA95" s="108"/>
      <c r="AB95" s="109" t="str">
        <f>IF(Y95&lt;&gt;"", VLOOKUP(Y95, CBH_Taxonomies!C:D, 2, 0), "")</f>
        <v/>
      </c>
      <c r="AC95" s="109"/>
      <c r="AD95" s="109"/>
      <c r="AE95" s="109"/>
      <c r="AF95" s="109"/>
      <c r="AG95" s="102" t="str" cm="1">
        <f t="array" ref="AG95">_xlfn.TEXTJOIN(", ", TRUE, _xlfn.UNIQUE(IF(Sheet2!$A$2:$A$888 = LOAP!Y95, Sheet2!$B$2:$B$888, "")))</f>
        <v/>
      </c>
      <c r="AH95" s="102" t="str" cm="1">
        <f t="array" ref="AH95">_xlfn.TEXTJOIN(", ", TRUE, _xlfn.UNIQUE(IF(Sheet2!$A$2:$A$888 = LOAP!Y95, Sheet2!$C$2:$C$888, "")))</f>
        <v/>
      </c>
      <c r="AI95" s="100"/>
      <c r="AJ95" s="100"/>
      <c r="AK95" s="100"/>
      <c r="AL95" s="100" t="str">
        <f t="shared" si="3"/>
        <v xml:space="preserve"> </v>
      </c>
      <c r="AM95" s="108"/>
      <c r="AN95" s="108"/>
      <c r="AO95" s="108"/>
      <c r="AP95" s="108"/>
      <c r="AQ95" s="100"/>
      <c r="AR95" s="108"/>
      <c r="AS95" s="108"/>
      <c r="AT95" s="108"/>
      <c r="AU95" s="122"/>
    </row>
    <row r="96" spans="1:47" ht="15" customHeight="1" x14ac:dyDescent="0.25">
      <c r="A96" s="42">
        <f t="shared" si="4"/>
        <v>78</v>
      </c>
      <c r="B96" s="108"/>
      <c r="C96" s="108"/>
      <c r="D96" s="108"/>
      <c r="E96" s="108"/>
      <c r="F96" s="100"/>
      <c r="G96" s="62"/>
      <c r="H96" s="63"/>
      <c r="I96" s="108"/>
      <c r="J96" s="108"/>
      <c r="K96" s="108"/>
      <c r="L96" s="111"/>
      <c r="M96" s="108"/>
      <c r="N96" s="108"/>
      <c r="O96" s="107"/>
      <c r="P96" s="45"/>
      <c r="Q96" s="45"/>
      <c r="R96" s="100"/>
      <c r="S96" s="100"/>
      <c r="T96" s="108"/>
      <c r="U96" s="108"/>
      <c r="V96" s="108"/>
      <c r="W96" s="108"/>
      <c r="X96" s="100"/>
      <c r="Y96" s="108"/>
      <c r="Z96" s="108"/>
      <c r="AA96" s="108"/>
      <c r="AB96" s="109" t="str">
        <f>IF(Y96&lt;&gt;"", VLOOKUP(Y96, CBH_Taxonomies!C:D, 2, 0), "")</f>
        <v/>
      </c>
      <c r="AC96" s="109"/>
      <c r="AD96" s="109"/>
      <c r="AE96" s="109"/>
      <c r="AF96" s="109"/>
      <c r="AG96" s="102" t="str" cm="1">
        <f t="array" ref="AG96">_xlfn.TEXTJOIN(", ", TRUE, _xlfn.UNIQUE(IF(Sheet2!$A$2:$A$888 = LOAP!Y96, Sheet2!$B$2:$B$888, "")))</f>
        <v/>
      </c>
      <c r="AH96" s="102" t="str" cm="1">
        <f t="array" ref="AH96">_xlfn.TEXTJOIN(", ", TRUE, _xlfn.UNIQUE(IF(Sheet2!$A$2:$A$888 = LOAP!Y96, Sheet2!$C$2:$C$888, "")))</f>
        <v/>
      </c>
      <c r="AI96" s="100"/>
      <c r="AJ96" s="100"/>
      <c r="AK96" s="100"/>
      <c r="AL96" s="100" t="str">
        <f t="shared" si="3"/>
        <v xml:space="preserve"> </v>
      </c>
      <c r="AM96" s="108"/>
      <c r="AN96" s="108"/>
      <c r="AO96" s="108"/>
      <c r="AP96" s="108"/>
      <c r="AQ96" s="100"/>
      <c r="AR96" s="108"/>
      <c r="AS96" s="108"/>
      <c r="AT96" s="108"/>
      <c r="AU96" s="122"/>
    </row>
    <row r="97" spans="1:47" ht="15" customHeight="1" x14ac:dyDescent="0.25">
      <c r="A97" s="42">
        <f t="shared" si="4"/>
        <v>79</v>
      </c>
      <c r="B97" s="108"/>
      <c r="C97" s="108"/>
      <c r="D97" s="108"/>
      <c r="E97" s="108"/>
      <c r="F97" s="100"/>
      <c r="G97" s="62"/>
      <c r="H97" s="63"/>
      <c r="I97" s="108"/>
      <c r="J97" s="108"/>
      <c r="K97" s="108"/>
      <c r="L97" s="111"/>
      <c r="M97" s="108"/>
      <c r="N97" s="108"/>
      <c r="O97" s="107"/>
      <c r="P97" s="45"/>
      <c r="Q97" s="45"/>
      <c r="R97" s="100"/>
      <c r="S97" s="100"/>
      <c r="T97" s="108"/>
      <c r="U97" s="108"/>
      <c r="V97" s="108"/>
      <c r="W97" s="108"/>
      <c r="X97" s="100"/>
      <c r="Y97" s="108"/>
      <c r="Z97" s="108"/>
      <c r="AA97" s="108"/>
      <c r="AB97" s="109" t="str">
        <f>IF(Y97&lt;&gt;"", VLOOKUP(Y97, CBH_Taxonomies!C:D, 2, 0), "")</f>
        <v/>
      </c>
      <c r="AC97" s="109"/>
      <c r="AD97" s="109"/>
      <c r="AE97" s="109"/>
      <c r="AF97" s="109"/>
      <c r="AG97" s="102" t="str" cm="1">
        <f t="array" ref="AG97">_xlfn.TEXTJOIN(", ", TRUE, _xlfn.UNIQUE(IF(Sheet2!$A$2:$A$888 = LOAP!Y97, Sheet2!$B$2:$B$888, "")))</f>
        <v/>
      </c>
      <c r="AH97" s="102" t="str" cm="1">
        <f t="array" ref="AH97">_xlfn.TEXTJOIN(", ", TRUE, _xlfn.UNIQUE(IF(Sheet2!$A$2:$A$888 = LOAP!Y97, Sheet2!$C$2:$C$888, "")))</f>
        <v/>
      </c>
      <c r="AI97" s="100"/>
      <c r="AJ97" s="100"/>
      <c r="AK97" s="100"/>
      <c r="AL97" s="100" t="str">
        <f t="shared" si="3"/>
        <v xml:space="preserve"> </v>
      </c>
      <c r="AM97" s="108"/>
      <c r="AN97" s="108"/>
      <c r="AO97" s="108"/>
      <c r="AP97" s="108"/>
      <c r="AQ97" s="100"/>
      <c r="AR97" s="108"/>
      <c r="AS97" s="108"/>
      <c r="AT97" s="108"/>
      <c r="AU97" s="122"/>
    </row>
    <row r="98" spans="1:47" ht="15" customHeight="1" x14ac:dyDescent="0.25">
      <c r="A98" s="42">
        <f t="shared" si="4"/>
        <v>80</v>
      </c>
      <c r="B98" s="108"/>
      <c r="C98" s="108"/>
      <c r="D98" s="108"/>
      <c r="E98" s="108"/>
      <c r="F98" s="100"/>
      <c r="G98" s="62"/>
      <c r="H98" s="63"/>
      <c r="I98" s="108"/>
      <c r="J98" s="108"/>
      <c r="K98" s="108"/>
      <c r="L98" s="111"/>
      <c r="M98" s="108"/>
      <c r="N98" s="108"/>
      <c r="O98" s="107"/>
      <c r="P98" s="45"/>
      <c r="Q98" s="45"/>
      <c r="R98" s="100"/>
      <c r="S98" s="100"/>
      <c r="T98" s="108"/>
      <c r="U98" s="108"/>
      <c r="V98" s="108"/>
      <c r="W98" s="108"/>
      <c r="X98" s="100"/>
      <c r="Y98" s="108"/>
      <c r="Z98" s="108"/>
      <c r="AA98" s="108"/>
      <c r="AB98" s="109" t="str">
        <f>IF(Y98&lt;&gt;"", VLOOKUP(Y98, CBH_Taxonomies!C:D, 2, 0), "")</f>
        <v/>
      </c>
      <c r="AC98" s="109"/>
      <c r="AD98" s="109"/>
      <c r="AE98" s="109"/>
      <c r="AF98" s="109"/>
      <c r="AG98" s="102" t="str" cm="1">
        <f t="array" ref="AG98">_xlfn.TEXTJOIN(", ", TRUE, _xlfn.UNIQUE(IF(Sheet2!$A$2:$A$888 = LOAP!Y98, Sheet2!$B$2:$B$888, "")))</f>
        <v/>
      </c>
      <c r="AH98" s="102" t="str" cm="1">
        <f t="array" ref="AH98">_xlfn.TEXTJOIN(", ", TRUE, _xlfn.UNIQUE(IF(Sheet2!$A$2:$A$888 = LOAP!Y98, Sheet2!$C$2:$C$888, "")))</f>
        <v/>
      </c>
      <c r="AI98" s="100"/>
      <c r="AJ98" s="100"/>
      <c r="AK98" s="100"/>
      <c r="AL98" s="100" t="str">
        <f t="shared" si="3"/>
        <v xml:space="preserve"> </v>
      </c>
      <c r="AM98" s="108"/>
      <c r="AN98" s="108"/>
      <c r="AO98" s="108"/>
      <c r="AP98" s="108"/>
      <c r="AQ98" s="100"/>
      <c r="AR98" s="108"/>
      <c r="AS98" s="108"/>
      <c r="AT98" s="108"/>
      <c r="AU98" s="122"/>
    </row>
    <row r="99" spans="1:47" ht="15" customHeight="1" x14ac:dyDescent="0.25">
      <c r="A99" s="42">
        <f t="shared" si="4"/>
        <v>81</v>
      </c>
      <c r="B99" s="108"/>
      <c r="C99" s="108"/>
      <c r="D99" s="108"/>
      <c r="E99" s="108"/>
      <c r="F99" s="100"/>
      <c r="G99" s="62"/>
      <c r="H99" s="63"/>
      <c r="I99" s="108"/>
      <c r="J99" s="108"/>
      <c r="K99" s="108"/>
      <c r="L99" s="111"/>
      <c r="M99" s="108"/>
      <c r="N99" s="108"/>
      <c r="O99" s="107"/>
      <c r="P99" s="45"/>
      <c r="Q99" s="45"/>
      <c r="R99" s="100"/>
      <c r="S99" s="100"/>
      <c r="T99" s="108"/>
      <c r="U99" s="108"/>
      <c r="V99" s="108"/>
      <c r="W99" s="108"/>
      <c r="X99" s="100"/>
      <c r="Y99" s="108"/>
      <c r="Z99" s="108"/>
      <c r="AA99" s="108"/>
      <c r="AB99" s="109" t="str">
        <f>IF(Y99&lt;&gt;"", VLOOKUP(Y99, CBH_Taxonomies!C:D, 2, 0), "")</f>
        <v/>
      </c>
      <c r="AC99" s="109"/>
      <c r="AD99" s="109"/>
      <c r="AE99" s="109"/>
      <c r="AF99" s="109"/>
      <c r="AG99" s="102" t="str" cm="1">
        <f t="array" ref="AG99">_xlfn.TEXTJOIN(", ", TRUE, _xlfn.UNIQUE(IF(Sheet2!$A$2:$A$888 = LOAP!Y99, Sheet2!$B$2:$B$888, "")))</f>
        <v/>
      </c>
      <c r="AH99" s="102" t="str" cm="1">
        <f t="array" ref="AH99">_xlfn.TEXTJOIN(", ", TRUE, _xlfn.UNIQUE(IF(Sheet2!$A$2:$A$888 = LOAP!Y99, Sheet2!$C$2:$C$888, "")))</f>
        <v/>
      </c>
      <c r="AI99" s="100"/>
      <c r="AJ99" s="100"/>
      <c r="AK99" s="100"/>
      <c r="AL99" s="100" t="str">
        <f t="shared" si="3"/>
        <v xml:space="preserve"> </v>
      </c>
      <c r="AM99" s="108"/>
      <c r="AN99" s="108"/>
      <c r="AO99" s="108"/>
      <c r="AP99" s="108"/>
      <c r="AQ99" s="100"/>
      <c r="AR99" s="108"/>
      <c r="AS99" s="108"/>
      <c r="AT99" s="108"/>
      <c r="AU99" s="122"/>
    </row>
    <row r="100" spans="1:47" ht="15" customHeight="1" x14ac:dyDescent="0.25">
      <c r="A100" s="42">
        <f t="shared" si="4"/>
        <v>82</v>
      </c>
      <c r="B100" s="108"/>
      <c r="C100" s="108"/>
      <c r="D100" s="108"/>
      <c r="E100" s="108"/>
      <c r="F100" s="100"/>
      <c r="G100" s="62"/>
      <c r="H100" s="63"/>
      <c r="I100" s="108"/>
      <c r="J100" s="108"/>
      <c r="K100" s="108"/>
      <c r="L100" s="111"/>
      <c r="M100" s="108"/>
      <c r="N100" s="108"/>
      <c r="O100" s="107"/>
      <c r="P100" s="45"/>
      <c r="Q100" s="45"/>
      <c r="R100" s="100"/>
      <c r="S100" s="100"/>
      <c r="T100" s="108"/>
      <c r="U100" s="108"/>
      <c r="V100" s="108"/>
      <c r="W100" s="108"/>
      <c r="X100" s="100"/>
      <c r="Y100" s="108"/>
      <c r="Z100" s="108"/>
      <c r="AA100" s="108"/>
      <c r="AB100" s="109" t="str">
        <f>IF(Y100&lt;&gt;"", VLOOKUP(Y100, CBH_Taxonomies!C:D, 2, 0), "")</f>
        <v/>
      </c>
      <c r="AC100" s="109"/>
      <c r="AD100" s="109"/>
      <c r="AE100" s="109"/>
      <c r="AF100" s="109"/>
      <c r="AG100" s="102" t="str" cm="1">
        <f t="array" ref="AG100">_xlfn.TEXTJOIN(", ", TRUE, _xlfn.UNIQUE(IF(Sheet2!$A$2:$A$888 = LOAP!Y100, Sheet2!$B$2:$B$888, "")))</f>
        <v/>
      </c>
      <c r="AH100" s="102" t="str" cm="1">
        <f t="array" ref="AH100">_xlfn.TEXTJOIN(", ", TRUE, _xlfn.UNIQUE(IF(Sheet2!$A$2:$A$888 = LOAP!Y100, Sheet2!$C$2:$C$888, "")))</f>
        <v/>
      </c>
      <c r="AI100" s="100"/>
      <c r="AJ100" s="100"/>
      <c r="AK100" s="100"/>
      <c r="AL100" s="100" t="str">
        <f t="shared" si="3"/>
        <v xml:space="preserve"> </v>
      </c>
      <c r="AM100" s="108"/>
      <c r="AN100" s="108"/>
      <c r="AO100" s="108"/>
      <c r="AP100" s="108"/>
      <c r="AQ100" s="100"/>
      <c r="AR100" s="108"/>
      <c r="AS100" s="108"/>
      <c r="AT100" s="108"/>
      <c r="AU100" s="122"/>
    </row>
    <row r="101" spans="1:47" ht="15" customHeight="1" x14ac:dyDescent="0.25">
      <c r="A101" s="42">
        <f t="shared" si="4"/>
        <v>83</v>
      </c>
      <c r="B101" s="108"/>
      <c r="C101" s="108"/>
      <c r="D101" s="108"/>
      <c r="E101" s="108"/>
      <c r="F101" s="100"/>
      <c r="G101" s="62"/>
      <c r="H101" s="63"/>
      <c r="I101" s="108"/>
      <c r="J101" s="108"/>
      <c r="K101" s="108"/>
      <c r="L101" s="111"/>
      <c r="M101" s="108"/>
      <c r="N101" s="108"/>
      <c r="O101" s="107"/>
      <c r="P101" s="45"/>
      <c r="Q101" s="45"/>
      <c r="R101" s="100"/>
      <c r="S101" s="100"/>
      <c r="T101" s="108"/>
      <c r="U101" s="108"/>
      <c r="V101" s="108"/>
      <c r="W101" s="108"/>
      <c r="X101" s="100"/>
      <c r="Y101" s="108"/>
      <c r="Z101" s="108"/>
      <c r="AA101" s="108"/>
      <c r="AB101" s="109" t="str">
        <f>IF(Y101&lt;&gt;"", VLOOKUP(Y101, CBH_Taxonomies!C:D, 2, 0), "")</f>
        <v/>
      </c>
      <c r="AC101" s="109"/>
      <c r="AD101" s="109"/>
      <c r="AE101" s="109"/>
      <c r="AF101" s="109"/>
      <c r="AG101" s="102" t="str" cm="1">
        <f t="array" ref="AG101">_xlfn.TEXTJOIN(", ", TRUE, _xlfn.UNIQUE(IF(Sheet2!$A$2:$A$888 = LOAP!Y101, Sheet2!$B$2:$B$888, "")))</f>
        <v/>
      </c>
      <c r="AH101" s="102" t="str" cm="1">
        <f t="array" ref="AH101">_xlfn.TEXTJOIN(", ", TRUE, _xlfn.UNIQUE(IF(Sheet2!$A$2:$A$888 = LOAP!Y101, Sheet2!$C$2:$C$888, "")))</f>
        <v/>
      </c>
      <c r="AI101" s="100"/>
      <c r="AJ101" s="100"/>
      <c r="AK101" s="100"/>
      <c r="AL101" s="100" t="str">
        <f t="shared" si="3"/>
        <v xml:space="preserve"> </v>
      </c>
      <c r="AM101" s="108"/>
      <c r="AN101" s="108"/>
      <c r="AO101" s="108"/>
      <c r="AP101" s="108"/>
      <c r="AQ101" s="100"/>
      <c r="AR101" s="108"/>
      <c r="AS101" s="108"/>
      <c r="AT101" s="108"/>
      <c r="AU101" s="122"/>
    </row>
    <row r="102" spans="1:47" ht="15" customHeight="1" x14ac:dyDescent="0.25">
      <c r="A102" s="42">
        <f t="shared" si="4"/>
        <v>84</v>
      </c>
      <c r="B102" s="108"/>
      <c r="C102" s="108"/>
      <c r="D102" s="108"/>
      <c r="E102" s="108"/>
      <c r="F102" s="100"/>
      <c r="G102" s="62"/>
      <c r="H102" s="63"/>
      <c r="I102" s="108"/>
      <c r="J102" s="108"/>
      <c r="K102" s="108"/>
      <c r="L102" s="111"/>
      <c r="M102" s="108"/>
      <c r="N102" s="108"/>
      <c r="O102" s="107"/>
      <c r="P102" s="45"/>
      <c r="Q102" s="45"/>
      <c r="R102" s="100"/>
      <c r="S102" s="100"/>
      <c r="T102" s="108"/>
      <c r="U102" s="108"/>
      <c r="V102" s="108"/>
      <c r="W102" s="108"/>
      <c r="X102" s="100"/>
      <c r="Y102" s="108"/>
      <c r="Z102" s="108"/>
      <c r="AA102" s="108"/>
      <c r="AB102" s="109" t="str">
        <f>IF(Y102&lt;&gt;"", VLOOKUP(Y102, CBH_Taxonomies!C:D, 2, 0), "")</f>
        <v/>
      </c>
      <c r="AC102" s="109"/>
      <c r="AD102" s="109"/>
      <c r="AE102" s="109"/>
      <c r="AF102" s="109"/>
      <c r="AG102" s="102" t="str" cm="1">
        <f t="array" ref="AG102">_xlfn.TEXTJOIN(", ", TRUE, _xlfn.UNIQUE(IF(Sheet2!$A$2:$A$888 = LOAP!Y102, Sheet2!$B$2:$B$888, "")))</f>
        <v/>
      </c>
      <c r="AH102" s="102" t="str" cm="1">
        <f t="array" ref="AH102">_xlfn.TEXTJOIN(", ", TRUE, _xlfn.UNIQUE(IF(Sheet2!$A$2:$A$888 = LOAP!Y102, Sheet2!$C$2:$C$888, "")))</f>
        <v/>
      </c>
      <c r="AI102" s="100"/>
      <c r="AJ102" s="100"/>
      <c r="AK102" s="100"/>
      <c r="AL102" s="100" t="str">
        <f t="shared" si="3"/>
        <v xml:space="preserve"> </v>
      </c>
      <c r="AM102" s="108"/>
      <c r="AN102" s="108"/>
      <c r="AO102" s="108"/>
      <c r="AP102" s="108"/>
      <c r="AQ102" s="100"/>
      <c r="AR102" s="108"/>
      <c r="AS102" s="108"/>
      <c r="AT102" s="108"/>
      <c r="AU102" s="122"/>
    </row>
    <row r="103" spans="1:47" ht="15" customHeight="1" x14ac:dyDescent="0.25">
      <c r="A103" s="42">
        <f t="shared" si="4"/>
        <v>85</v>
      </c>
      <c r="B103" s="108"/>
      <c r="C103" s="108"/>
      <c r="D103" s="108"/>
      <c r="E103" s="108"/>
      <c r="F103" s="100"/>
      <c r="G103" s="62"/>
      <c r="H103" s="63"/>
      <c r="I103" s="108"/>
      <c r="J103" s="108"/>
      <c r="K103" s="108"/>
      <c r="L103" s="111"/>
      <c r="M103" s="108"/>
      <c r="N103" s="108"/>
      <c r="O103" s="107"/>
      <c r="P103" s="45"/>
      <c r="Q103" s="45"/>
      <c r="R103" s="100"/>
      <c r="S103" s="100"/>
      <c r="T103" s="108"/>
      <c r="U103" s="108"/>
      <c r="V103" s="108"/>
      <c r="W103" s="108"/>
      <c r="X103" s="100"/>
      <c r="Y103" s="108"/>
      <c r="Z103" s="108"/>
      <c r="AA103" s="108"/>
      <c r="AB103" s="109" t="str">
        <f>IF(Y103&lt;&gt;"", VLOOKUP(Y103, CBH_Taxonomies!C:D, 2, 0), "")</f>
        <v/>
      </c>
      <c r="AC103" s="109"/>
      <c r="AD103" s="109"/>
      <c r="AE103" s="109"/>
      <c r="AF103" s="109"/>
      <c r="AG103" s="102" t="str" cm="1">
        <f t="array" ref="AG103">_xlfn.TEXTJOIN(", ", TRUE, _xlfn.UNIQUE(IF(Sheet2!$A$2:$A$888 = LOAP!Y103, Sheet2!$B$2:$B$888, "")))</f>
        <v/>
      </c>
      <c r="AH103" s="102" t="str" cm="1">
        <f t="array" ref="AH103">_xlfn.TEXTJOIN(", ", TRUE, _xlfn.UNIQUE(IF(Sheet2!$A$2:$A$888 = LOAP!Y103, Sheet2!$C$2:$C$888, "")))</f>
        <v/>
      </c>
      <c r="AI103" s="100"/>
      <c r="AJ103" s="100"/>
      <c r="AK103" s="100"/>
      <c r="AL103" s="100" t="str">
        <f t="shared" si="3"/>
        <v xml:space="preserve"> </v>
      </c>
      <c r="AM103" s="108"/>
      <c r="AN103" s="108"/>
      <c r="AO103" s="108"/>
      <c r="AP103" s="108"/>
      <c r="AQ103" s="100"/>
      <c r="AR103" s="108"/>
      <c r="AS103" s="108"/>
      <c r="AT103" s="108"/>
      <c r="AU103" s="122"/>
    </row>
    <row r="104" spans="1:47" ht="15" customHeight="1" x14ac:dyDescent="0.25">
      <c r="A104" s="42">
        <f t="shared" si="4"/>
        <v>86</v>
      </c>
      <c r="B104" s="108"/>
      <c r="C104" s="108"/>
      <c r="D104" s="108"/>
      <c r="E104" s="108"/>
      <c r="F104" s="100"/>
      <c r="G104" s="62"/>
      <c r="H104" s="63"/>
      <c r="I104" s="108"/>
      <c r="J104" s="108"/>
      <c r="K104" s="108"/>
      <c r="L104" s="111"/>
      <c r="M104" s="108"/>
      <c r="N104" s="108"/>
      <c r="O104" s="107"/>
      <c r="P104" s="45"/>
      <c r="Q104" s="45"/>
      <c r="R104" s="100"/>
      <c r="S104" s="100"/>
      <c r="T104" s="108"/>
      <c r="U104" s="108"/>
      <c r="V104" s="108"/>
      <c r="W104" s="108"/>
      <c r="X104" s="100"/>
      <c r="Y104" s="108"/>
      <c r="Z104" s="108"/>
      <c r="AA104" s="108"/>
      <c r="AB104" s="109" t="str">
        <f>IF(Y104&lt;&gt;"", VLOOKUP(Y104, CBH_Taxonomies!C:D, 2, 0), "")</f>
        <v/>
      </c>
      <c r="AC104" s="109"/>
      <c r="AD104" s="109"/>
      <c r="AE104" s="109"/>
      <c r="AF104" s="109"/>
      <c r="AG104" s="102" t="str" cm="1">
        <f t="array" ref="AG104">_xlfn.TEXTJOIN(", ", TRUE, _xlfn.UNIQUE(IF(Sheet2!$A$2:$A$888 = LOAP!Y104, Sheet2!$B$2:$B$888, "")))</f>
        <v/>
      </c>
      <c r="AH104" s="102" t="str" cm="1">
        <f t="array" ref="AH104">_xlfn.TEXTJOIN(", ", TRUE, _xlfn.UNIQUE(IF(Sheet2!$A$2:$A$888 = LOAP!Y104, Sheet2!$C$2:$C$888, "")))</f>
        <v/>
      </c>
      <c r="AI104" s="100"/>
      <c r="AJ104" s="100"/>
      <c r="AK104" s="100"/>
      <c r="AL104" s="100" t="str">
        <f t="shared" si="3"/>
        <v xml:space="preserve"> </v>
      </c>
      <c r="AM104" s="108"/>
      <c r="AN104" s="108"/>
      <c r="AO104" s="108"/>
      <c r="AP104" s="108"/>
      <c r="AQ104" s="100"/>
      <c r="AR104" s="108"/>
      <c r="AS104" s="108"/>
      <c r="AT104" s="108"/>
      <c r="AU104" s="122"/>
    </row>
    <row r="105" spans="1:47" ht="15" customHeight="1" x14ac:dyDescent="0.25">
      <c r="A105" s="42">
        <f t="shared" si="4"/>
        <v>87</v>
      </c>
      <c r="B105" s="108"/>
      <c r="C105" s="108"/>
      <c r="D105" s="108"/>
      <c r="E105" s="108"/>
      <c r="F105" s="100"/>
      <c r="G105" s="62"/>
      <c r="H105" s="63"/>
      <c r="I105" s="108"/>
      <c r="J105" s="108"/>
      <c r="K105" s="108"/>
      <c r="L105" s="111"/>
      <c r="M105" s="108"/>
      <c r="N105" s="108"/>
      <c r="O105" s="107"/>
      <c r="P105" s="45"/>
      <c r="Q105" s="45"/>
      <c r="R105" s="100"/>
      <c r="S105" s="100"/>
      <c r="T105" s="108"/>
      <c r="U105" s="108"/>
      <c r="V105" s="108"/>
      <c r="W105" s="108"/>
      <c r="X105" s="100"/>
      <c r="Y105" s="108"/>
      <c r="Z105" s="108"/>
      <c r="AA105" s="108"/>
      <c r="AB105" s="109" t="str">
        <f>IF(Y105&lt;&gt;"", VLOOKUP(Y105, CBH_Taxonomies!C:D, 2, 0), "")</f>
        <v/>
      </c>
      <c r="AC105" s="109"/>
      <c r="AD105" s="109"/>
      <c r="AE105" s="109"/>
      <c r="AF105" s="109"/>
      <c r="AG105" s="102" t="str" cm="1">
        <f t="array" ref="AG105">_xlfn.TEXTJOIN(", ", TRUE, _xlfn.UNIQUE(IF(Sheet2!$A$2:$A$888 = LOAP!Y105, Sheet2!$B$2:$B$888, "")))</f>
        <v/>
      </c>
      <c r="AH105" s="102" t="str" cm="1">
        <f t="array" ref="AH105">_xlfn.TEXTJOIN(", ", TRUE, _xlfn.UNIQUE(IF(Sheet2!$A$2:$A$888 = LOAP!Y105, Sheet2!$C$2:$C$888, "")))</f>
        <v/>
      </c>
      <c r="AI105" s="100"/>
      <c r="AJ105" s="100"/>
      <c r="AK105" s="100"/>
      <c r="AL105" s="100" t="str">
        <f t="shared" si="3"/>
        <v xml:space="preserve"> </v>
      </c>
      <c r="AM105" s="108"/>
      <c r="AN105" s="108"/>
      <c r="AO105" s="108"/>
      <c r="AP105" s="108"/>
      <c r="AQ105" s="100"/>
      <c r="AR105" s="108"/>
      <c r="AS105" s="108"/>
      <c r="AT105" s="108"/>
      <c r="AU105" s="122"/>
    </row>
    <row r="106" spans="1:47" ht="15" customHeight="1" x14ac:dyDescent="0.25">
      <c r="A106" s="42">
        <f t="shared" si="4"/>
        <v>88</v>
      </c>
      <c r="B106" s="108"/>
      <c r="C106" s="108"/>
      <c r="D106" s="108"/>
      <c r="E106" s="108"/>
      <c r="F106" s="100"/>
      <c r="G106" s="62"/>
      <c r="H106" s="63"/>
      <c r="I106" s="108"/>
      <c r="J106" s="108"/>
      <c r="K106" s="108"/>
      <c r="L106" s="111"/>
      <c r="M106" s="108"/>
      <c r="N106" s="108"/>
      <c r="O106" s="107"/>
      <c r="P106" s="45"/>
      <c r="Q106" s="45"/>
      <c r="R106" s="100"/>
      <c r="S106" s="100"/>
      <c r="T106" s="108"/>
      <c r="U106" s="108"/>
      <c r="V106" s="108"/>
      <c r="W106" s="108"/>
      <c r="X106" s="100"/>
      <c r="Y106" s="108"/>
      <c r="Z106" s="108"/>
      <c r="AA106" s="108"/>
      <c r="AB106" s="109" t="str">
        <f>IF(Y106&lt;&gt;"", VLOOKUP(Y106, CBH_Taxonomies!C:D, 2, 0), "")</f>
        <v/>
      </c>
      <c r="AC106" s="109"/>
      <c r="AD106" s="109"/>
      <c r="AE106" s="109"/>
      <c r="AF106" s="109"/>
      <c r="AG106" s="102" t="str" cm="1">
        <f t="array" ref="AG106">_xlfn.TEXTJOIN(", ", TRUE, _xlfn.UNIQUE(IF(Sheet2!$A$2:$A$888 = LOAP!Y106, Sheet2!$B$2:$B$888, "")))</f>
        <v/>
      </c>
      <c r="AH106" s="102" t="str" cm="1">
        <f t="array" ref="AH106">_xlfn.TEXTJOIN(", ", TRUE, _xlfn.UNIQUE(IF(Sheet2!$A$2:$A$888 = LOAP!Y106, Sheet2!$C$2:$C$888, "")))</f>
        <v/>
      </c>
      <c r="AI106" s="100"/>
      <c r="AJ106" s="100"/>
      <c r="AK106" s="100"/>
      <c r="AL106" s="100" t="str">
        <f t="shared" si="3"/>
        <v xml:space="preserve"> </v>
      </c>
      <c r="AM106" s="108"/>
      <c r="AN106" s="108"/>
      <c r="AO106" s="108"/>
      <c r="AP106" s="108"/>
      <c r="AQ106" s="100"/>
      <c r="AR106" s="108"/>
      <c r="AS106" s="108"/>
      <c r="AT106" s="108"/>
      <c r="AU106" s="122"/>
    </row>
    <row r="107" spans="1:47" ht="15" customHeight="1" x14ac:dyDescent="0.25">
      <c r="A107" s="42">
        <f t="shared" si="4"/>
        <v>89</v>
      </c>
      <c r="B107" s="108"/>
      <c r="C107" s="108"/>
      <c r="D107" s="108"/>
      <c r="E107" s="108"/>
      <c r="F107" s="100"/>
      <c r="G107" s="62"/>
      <c r="H107" s="63"/>
      <c r="I107" s="108"/>
      <c r="J107" s="108"/>
      <c r="K107" s="108"/>
      <c r="L107" s="111"/>
      <c r="M107" s="108"/>
      <c r="N107" s="108"/>
      <c r="O107" s="107"/>
      <c r="P107" s="45"/>
      <c r="Q107" s="45"/>
      <c r="R107" s="100"/>
      <c r="S107" s="100"/>
      <c r="T107" s="108"/>
      <c r="U107" s="108"/>
      <c r="V107" s="108"/>
      <c r="W107" s="108"/>
      <c r="X107" s="100"/>
      <c r="Y107" s="108"/>
      <c r="Z107" s="108"/>
      <c r="AA107" s="108"/>
      <c r="AB107" s="109" t="str">
        <f>IF(Y107&lt;&gt;"", VLOOKUP(Y107, CBH_Taxonomies!C:D, 2, 0), "")</f>
        <v/>
      </c>
      <c r="AC107" s="109"/>
      <c r="AD107" s="109"/>
      <c r="AE107" s="109"/>
      <c r="AF107" s="109"/>
      <c r="AG107" s="102" t="str" cm="1">
        <f t="array" ref="AG107">_xlfn.TEXTJOIN(", ", TRUE, _xlfn.UNIQUE(IF(Sheet2!$A$2:$A$888 = LOAP!Y107, Sheet2!$B$2:$B$888, "")))</f>
        <v/>
      </c>
      <c r="AH107" s="102" t="str" cm="1">
        <f t="array" ref="AH107">_xlfn.TEXTJOIN(", ", TRUE, _xlfn.UNIQUE(IF(Sheet2!$A$2:$A$888 = LOAP!Y107, Sheet2!$C$2:$C$888, "")))</f>
        <v/>
      </c>
      <c r="AI107" s="100"/>
      <c r="AJ107" s="100"/>
      <c r="AK107" s="100"/>
      <c r="AL107" s="100" t="str">
        <f t="shared" si="3"/>
        <v xml:space="preserve"> </v>
      </c>
      <c r="AM107" s="108"/>
      <c r="AN107" s="108"/>
      <c r="AO107" s="108"/>
      <c r="AP107" s="108"/>
      <c r="AQ107" s="100"/>
      <c r="AR107" s="108"/>
      <c r="AS107" s="108"/>
      <c r="AT107" s="108"/>
      <c r="AU107" s="122"/>
    </row>
    <row r="108" spans="1:47" ht="15" customHeight="1" x14ac:dyDescent="0.25">
      <c r="A108" s="42">
        <f t="shared" si="4"/>
        <v>90</v>
      </c>
      <c r="B108" s="108"/>
      <c r="C108" s="108"/>
      <c r="D108" s="108"/>
      <c r="E108" s="108"/>
      <c r="F108" s="100"/>
      <c r="G108" s="62"/>
      <c r="H108" s="63"/>
      <c r="I108" s="108"/>
      <c r="J108" s="108"/>
      <c r="K108" s="108"/>
      <c r="L108" s="111"/>
      <c r="M108" s="108"/>
      <c r="N108" s="108"/>
      <c r="O108" s="107"/>
      <c r="P108" s="45"/>
      <c r="Q108" s="45"/>
      <c r="R108" s="100"/>
      <c r="S108" s="100"/>
      <c r="T108" s="108"/>
      <c r="U108" s="108"/>
      <c r="V108" s="108"/>
      <c r="W108" s="108"/>
      <c r="X108" s="100"/>
      <c r="Y108" s="108"/>
      <c r="Z108" s="108"/>
      <c r="AA108" s="108"/>
      <c r="AB108" s="109" t="str">
        <f>IF(Y108&lt;&gt;"", VLOOKUP(Y108, CBH_Taxonomies!C:D, 2, 0), "")</f>
        <v/>
      </c>
      <c r="AC108" s="109"/>
      <c r="AD108" s="109"/>
      <c r="AE108" s="109"/>
      <c r="AF108" s="109"/>
      <c r="AG108" s="102" t="str" cm="1">
        <f t="array" ref="AG108">_xlfn.TEXTJOIN(", ", TRUE, _xlfn.UNIQUE(IF(Sheet2!$A$2:$A$888 = LOAP!Y108, Sheet2!$B$2:$B$888, "")))</f>
        <v/>
      </c>
      <c r="AH108" s="102" t="str" cm="1">
        <f t="array" ref="AH108">_xlfn.TEXTJOIN(", ", TRUE, _xlfn.UNIQUE(IF(Sheet2!$A$2:$A$888 = LOAP!Y108, Sheet2!$C$2:$C$888, "")))</f>
        <v/>
      </c>
      <c r="AI108" s="100"/>
      <c r="AJ108" s="100"/>
      <c r="AK108" s="100"/>
      <c r="AL108" s="100" t="str">
        <f t="shared" si="3"/>
        <v xml:space="preserve"> </v>
      </c>
      <c r="AM108" s="108"/>
      <c r="AN108" s="108"/>
      <c r="AO108" s="108"/>
      <c r="AP108" s="108"/>
      <c r="AQ108" s="100"/>
      <c r="AR108" s="108"/>
      <c r="AS108" s="108"/>
      <c r="AT108" s="108"/>
      <c r="AU108" s="122"/>
    </row>
    <row r="109" spans="1:47" ht="15" customHeight="1" x14ac:dyDescent="0.25">
      <c r="A109" s="42">
        <f t="shared" si="4"/>
        <v>91</v>
      </c>
      <c r="B109" s="108"/>
      <c r="C109" s="108"/>
      <c r="D109" s="108"/>
      <c r="E109" s="108"/>
      <c r="F109" s="100"/>
      <c r="G109" s="62"/>
      <c r="H109" s="63"/>
      <c r="I109" s="108"/>
      <c r="J109" s="108"/>
      <c r="K109" s="108"/>
      <c r="L109" s="111"/>
      <c r="M109" s="108"/>
      <c r="N109" s="108"/>
      <c r="O109" s="107"/>
      <c r="P109" s="45"/>
      <c r="Q109" s="45"/>
      <c r="R109" s="100"/>
      <c r="S109" s="100"/>
      <c r="T109" s="108"/>
      <c r="U109" s="108"/>
      <c r="V109" s="108"/>
      <c r="W109" s="108"/>
      <c r="X109" s="100"/>
      <c r="Y109" s="108"/>
      <c r="Z109" s="108"/>
      <c r="AA109" s="108"/>
      <c r="AB109" s="109" t="str">
        <f>IF(Y109&lt;&gt;"", VLOOKUP(Y109, CBH_Taxonomies!C:D, 2, 0), "")</f>
        <v/>
      </c>
      <c r="AC109" s="109"/>
      <c r="AD109" s="109"/>
      <c r="AE109" s="109"/>
      <c r="AF109" s="109"/>
      <c r="AG109" s="102" t="str" cm="1">
        <f t="array" ref="AG109">_xlfn.TEXTJOIN(", ", TRUE, _xlfn.UNIQUE(IF(Sheet2!$A$2:$A$888 = LOAP!Y109, Sheet2!$B$2:$B$888, "")))</f>
        <v/>
      </c>
      <c r="AH109" s="102" t="str" cm="1">
        <f t="array" ref="AH109">_xlfn.TEXTJOIN(", ", TRUE, _xlfn.UNIQUE(IF(Sheet2!$A$2:$A$888 = LOAP!Y109, Sheet2!$C$2:$C$888, "")))</f>
        <v/>
      </c>
      <c r="AI109" s="100"/>
      <c r="AJ109" s="100"/>
      <c r="AK109" s="100"/>
      <c r="AL109" s="100" t="str">
        <f t="shared" si="3"/>
        <v xml:space="preserve"> </v>
      </c>
      <c r="AM109" s="108"/>
      <c r="AN109" s="108"/>
      <c r="AO109" s="108"/>
      <c r="AP109" s="108"/>
      <c r="AQ109" s="100"/>
      <c r="AR109" s="108"/>
      <c r="AS109" s="108"/>
      <c r="AT109" s="108"/>
      <c r="AU109" s="122"/>
    </row>
    <row r="110" spans="1:47" ht="15" customHeight="1" x14ac:dyDescent="0.25">
      <c r="A110" s="42">
        <f t="shared" si="4"/>
        <v>92</v>
      </c>
      <c r="B110" s="108"/>
      <c r="C110" s="108"/>
      <c r="D110" s="108"/>
      <c r="E110" s="108"/>
      <c r="F110" s="100"/>
      <c r="G110" s="62"/>
      <c r="H110" s="63"/>
      <c r="I110" s="108"/>
      <c r="J110" s="108"/>
      <c r="K110" s="108"/>
      <c r="L110" s="111"/>
      <c r="M110" s="108"/>
      <c r="N110" s="108"/>
      <c r="O110" s="107"/>
      <c r="P110" s="45"/>
      <c r="Q110" s="45"/>
      <c r="R110" s="100"/>
      <c r="S110" s="100"/>
      <c r="T110" s="108"/>
      <c r="U110" s="108"/>
      <c r="V110" s="108"/>
      <c r="W110" s="108"/>
      <c r="X110" s="100"/>
      <c r="Y110" s="108"/>
      <c r="Z110" s="108"/>
      <c r="AA110" s="108"/>
      <c r="AB110" s="109" t="str">
        <f>IF(Y110&lt;&gt;"", VLOOKUP(Y110, CBH_Taxonomies!C:D, 2, 0), "")</f>
        <v/>
      </c>
      <c r="AC110" s="109"/>
      <c r="AD110" s="109"/>
      <c r="AE110" s="109"/>
      <c r="AF110" s="109"/>
      <c r="AG110" s="102" t="str" cm="1">
        <f t="array" ref="AG110">_xlfn.TEXTJOIN(", ", TRUE, _xlfn.UNIQUE(IF(Sheet2!$A$2:$A$888 = LOAP!Y110, Sheet2!$B$2:$B$888, "")))</f>
        <v/>
      </c>
      <c r="AH110" s="102" t="str" cm="1">
        <f t="array" ref="AH110">_xlfn.TEXTJOIN(", ", TRUE, _xlfn.UNIQUE(IF(Sheet2!$A$2:$A$888 = LOAP!Y110, Sheet2!$C$2:$C$888, "")))</f>
        <v/>
      </c>
      <c r="AI110" s="100"/>
      <c r="AJ110" s="100"/>
      <c r="AK110" s="100"/>
      <c r="AL110" s="100" t="str">
        <f t="shared" si="3"/>
        <v xml:space="preserve"> </v>
      </c>
      <c r="AM110" s="108"/>
      <c r="AN110" s="108"/>
      <c r="AO110" s="108"/>
      <c r="AP110" s="108"/>
      <c r="AQ110" s="100"/>
      <c r="AR110" s="108"/>
      <c r="AS110" s="108"/>
      <c r="AT110" s="108"/>
      <c r="AU110" s="122"/>
    </row>
    <row r="111" spans="1:47" ht="15" customHeight="1" x14ac:dyDescent="0.25">
      <c r="A111" s="42">
        <f t="shared" si="4"/>
        <v>93</v>
      </c>
      <c r="B111" s="108"/>
      <c r="C111" s="108"/>
      <c r="D111" s="108"/>
      <c r="E111" s="108"/>
      <c r="F111" s="100"/>
      <c r="G111" s="62"/>
      <c r="H111" s="63"/>
      <c r="I111" s="108"/>
      <c r="J111" s="108"/>
      <c r="K111" s="108"/>
      <c r="L111" s="111"/>
      <c r="M111" s="108"/>
      <c r="N111" s="108"/>
      <c r="O111" s="107"/>
      <c r="P111" s="45"/>
      <c r="Q111" s="45"/>
      <c r="R111" s="100"/>
      <c r="S111" s="100"/>
      <c r="T111" s="108"/>
      <c r="U111" s="108"/>
      <c r="V111" s="108"/>
      <c r="W111" s="108"/>
      <c r="X111" s="100"/>
      <c r="Y111" s="108"/>
      <c r="Z111" s="108"/>
      <c r="AA111" s="108"/>
      <c r="AB111" s="109" t="str">
        <f>IF(Y111&lt;&gt;"", VLOOKUP(Y111, CBH_Taxonomies!C:D, 2, 0), "")</f>
        <v/>
      </c>
      <c r="AC111" s="109"/>
      <c r="AD111" s="109"/>
      <c r="AE111" s="109"/>
      <c r="AF111" s="109"/>
      <c r="AG111" s="102" t="str" cm="1">
        <f t="array" ref="AG111">_xlfn.TEXTJOIN(", ", TRUE, _xlfn.UNIQUE(IF(Sheet2!$A$2:$A$888 = LOAP!Y111, Sheet2!$B$2:$B$888, "")))</f>
        <v/>
      </c>
      <c r="AH111" s="102" t="str" cm="1">
        <f t="array" ref="AH111">_xlfn.TEXTJOIN(", ", TRUE, _xlfn.UNIQUE(IF(Sheet2!$A$2:$A$888 = LOAP!Y111, Sheet2!$C$2:$C$888, "")))</f>
        <v/>
      </c>
      <c r="AI111" s="100"/>
      <c r="AJ111" s="100"/>
      <c r="AK111" s="100"/>
      <c r="AL111" s="100" t="str">
        <f t="shared" si="3"/>
        <v xml:space="preserve"> </v>
      </c>
      <c r="AM111" s="108"/>
      <c r="AN111" s="108"/>
      <c r="AO111" s="108"/>
      <c r="AP111" s="108"/>
      <c r="AQ111" s="100"/>
      <c r="AR111" s="108"/>
      <c r="AS111" s="108"/>
      <c r="AT111" s="108"/>
      <c r="AU111" s="122"/>
    </row>
    <row r="112" spans="1:47" ht="15" customHeight="1" x14ac:dyDescent="0.25">
      <c r="A112" s="42">
        <f t="shared" si="4"/>
        <v>94</v>
      </c>
      <c r="B112" s="108"/>
      <c r="C112" s="108"/>
      <c r="D112" s="108"/>
      <c r="E112" s="108"/>
      <c r="F112" s="100"/>
      <c r="G112" s="62"/>
      <c r="H112" s="63"/>
      <c r="I112" s="108"/>
      <c r="J112" s="108"/>
      <c r="K112" s="108"/>
      <c r="L112" s="111"/>
      <c r="M112" s="108"/>
      <c r="N112" s="108"/>
      <c r="O112" s="107"/>
      <c r="P112" s="45"/>
      <c r="Q112" s="45"/>
      <c r="R112" s="100"/>
      <c r="S112" s="100"/>
      <c r="T112" s="108"/>
      <c r="U112" s="108"/>
      <c r="V112" s="108"/>
      <c r="W112" s="108"/>
      <c r="X112" s="100"/>
      <c r="Y112" s="108"/>
      <c r="Z112" s="108"/>
      <c r="AA112" s="108"/>
      <c r="AB112" s="109" t="str">
        <f>IF(Y112&lt;&gt;"", VLOOKUP(Y112, CBH_Taxonomies!C:D, 2, 0), "")</f>
        <v/>
      </c>
      <c r="AC112" s="109"/>
      <c r="AD112" s="109"/>
      <c r="AE112" s="109"/>
      <c r="AF112" s="109"/>
      <c r="AG112" s="102" t="str" cm="1">
        <f t="array" ref="AG112">_xlfn.TEXTJOIN(", ", TRUE, _xlfn.UNIQUE(IF(Sheet2!$A$2:$A$888 = LOAP!Y112, Sheet2!$B$2:$B$888, "")))</f>
        <v/>
      </c>
      <c r="AH112" s="102" t="str" cm="1">
        <f t="array" ref="AH112">_xlfn.TEXTJOIN(", ", TRUE, _xlfn.UNIQUE(IF(Sheet2!$A$2:$A$888 = LOAP!Y112, Sheet2!$C$2:$C$888, "")))</f>
        <v/>
      </c>
      <c r="AI112" s="100"/>
      <c r="AJ112" s="100"/>
      <c r="AK112" s="100"/>
      <c r="AL112" s="100" t="str">
        <f t="shared" si="3"/>
        <v xml:space="preserve"> </v>
      </c>
      <c r="AM112" s="108"/>
      <c r="AN112" s="108"/>
      <c r="AO112" s="108"/>
      <c r="AP112" s="108"/>
      <c r="AQ112" s="100"/>
      <c r="AR112" s="108"/>
      <c r="AS112" s="108"/>
      <c r="AT112" s="108"/>
      <c r="AU112" s="122"/>
    </row>
    <row r="113" spans="1:47" ht="15" customHeight="1" x14ac:dyDescent="0.25">
      <c r="A113" s="42">
        <f t="shared" si="4"/>
        <v>95</v>
      </c>
      <c r="B113" s="108"/>
      <c r="C113" s="108"/>
      <c r="D113" s="108"/>
      <c r="E113" s="108"/>
      <c r="F113" s="100"/>
      <c r="G113" s="62"/>
      <c r="H113" s="63"/>
      <c r="I113" s="108"/>
      <c r="J113" s="108"/>
      <c r="K113" s="108"/>
      <c r="L113" s="111"/>
      <c r="M113" s="108"/>
      <c r="N113" s="108"/>
      <c r="O113" s="107"/>
      <c r="P113" s="45"/>
      <c r="Q113" s="45"/>
      <c r="R113" s="100"/>
      <c r="S113" s="100"/>
      <c r="T113" s="108"/>
      <c r="U113" s="108"/>
      <c r="V113" s="108"/>
      <c r="W113" s="108"/>
      <c r="X113" s="100"/>
      <c r="Y113" s="108"/>
      <c r="Z113" s="108"/>
      <c r="AA113" s="108"/>
      <c r="AB113" s="109" t="str">
        <f>IF(Y113&lt;&gt;"", VLOOKUP(Y113, CBH_Taxonomies!C:D, 2, 0), "")</f>
        <v/>
      </c>
      <c r="AC113" s="109"/>
      <c r="AD113" s="109"/>
      <c r="AE113" s="109"/>
      <c r="AF113" s="109"/>
      <c r="AG113" s="102" t="str" cm="1">
        <f t="array" ref="AG113">_xlfn.TEXTJOIN(", ", TRUE, _xlfn.UNIQUE(IF(Sheet2!$A$2:$A$888 = LOAP!Y113, Sheet2!$B$2:$B$888, "")))</f>
        <v/>
      </c>
      <c r="AH113" s="102" t="str" cm="1">
        <f t="array" ref="AH113">_xlfn.TEXTJOIN(", ", TRUE, _xlfn.UNIQUE(IF(Sheet2!$A$2:$A$888 = LOAP!Y113, Sheet2!$C$2:$C$888, "")))</f>
        <v/>
      </c>
      <c r="AI113" s="100"/>
      <c r="AJ113" s="100"/>
      <c r="AK113" s="100"/>
      <c r="AL113" s="100" t="str">
        <f t="shared" si="3"/>
        <v xml:space="preserve"> </v>
      </c>
      <c r="AM113" s="108"/>
      <c r="AN113" s="108"/>
      <c r="AO113" s="108"/>
      <c r="AP113" s="108"/>
      <c r="AQ113" s="100"/>
      <c r="AR113" s="108"/>
      <c r="AS113" s="108"/>
      <c r="AT113" s="108"/>
      <c r="AU113" s="122"/>
    </row>
    <row r="114" spans="1:47" ht="15" customHeight="1" x14ac:dyDescent="0.25">
      <c r="A114" s="42">
        <f t="shared" si="4"/>
        <v>96</v>
      </c>
      <c r="B114" s="108"/>
      <c r="C114" s="108"/>
      <c r="D114" s="108"/>
      <c r="E114" s="108"/>
      <c r="F114" s="100"/>
      <c r="G114" s="62"/>
      <c r="H114" s="63"/>
      <c r="I114" s="108"/>
      <c r="J114" s="108"/>
      <c r="K114" s="108"/>
      <c r="L114" s="111"/>
      <c r="M114" s="108"/>
      <c r="N114" s="108"/>
      <c r="O114" s="107"/>
      <c r="P114" s="45"/>
      <c r="Q114" s="45"/>
      <c r="R114" s="100"/>
      <c r="S114" s="100"/>
      <c r="T114" s="108"/>
      <c r="U114" s="108"/>
      <c r="V114" s="108"/>
      <c r="W114" s="108"/>
      <c r="X114" s="100"/>
      <c r="Y114" s="108"/>
      <c r="Z114" s="108"/>
      <c r="AA114" s="108"/>
      <c r="AB114" s="109" t="str">
        <f>IF(Y114&lt;&gt;"", VLOOKUP(Y114, CBH_Taxonomies!C:D, 2, 0), "")</f>
        <v/>
      </c>
      <c r="AC114" s="109"/>
      <c r="AD114" s="109"/>
      <c r="AE114" s="109"/>
      <c r="AF114" s="109"/>
      <c r="AG114" s="102" t="str" cm="1">
        <f t="array" ref="AG114">_xlfn.TEXTJOIN(", ", TRUE, _xlfn.UNIQUE(IF(Sheet2!$A$2:$A$888 = LOAP!Y114, Sheet2!$B$2:$B$888, "")))</f>
        <v/>
      </c>
      <c r="AH114" s="102" t="str" cm="1">
        <f t="array" ref="AH114">_xlfn.TEXTJOIN(", ", TRUE, _xlfn.UNIQUE(IF(Sheet2!$A$2:$A$888 = LOAP!Y114, Sheet2!$C$2:$C$888, "")))</f>
        <v/>
      </c>
      <c r="AI114" s="100"/>
      <c r="AJ114" s="100"/>
      <c r="AK114" s="100"/>
      <c r="AL114" s="100" t="str">
        <f t="shared" si="3"/>
        <v xml:space="preserve"> </v>
      </c>
      <c r="AM114" s="108"/>
      <c r="AN114" s="108"/>
      <c r="AO114" s="108"/>
      <c r="AP114" s="108"/>
      <c r="AQ114" s="100"/>
      <c r="AR114" s="108"/>
      <c r="AS114" s="108"/>
      <c r="AT114" s="108"/>
      <c r="AU114" s="122"/>
    </row>
    <row r="115" spans="1:47" ht="15" customHeight="1" x14ac:dyDescent="0.25">
      <c r="A115" s="42">
        <f t="shared" si="4"/>
        <v>97</v>
      </c>
      <c r="B115" s="108"/>
      <c r="C115" s="108"/>
      <c r="D115" s="108"/>
      <c r="E115" s="108"/>
      <c r="F115" s="100"/>
      <c r="G115" s="62"/>
      <c r="H115" s="63"/>
      <c r="I115" s="108"/>
      <c r="J115" s="108"/>
      <c r="K115" s="108"/>
      <c r="L115" s="111"/>
      <c r="M115" s="108"/>
      <c r="N115" s="108"/>
      <c r="O115" s="107"/>
      <c r="P115" s="45"/>
      <c r="Q115" s="45"/>
      <c r="R115" s="100"/>
      <c r="S115" s="100"/>
      <c r="T115" s="108"/>
      <c r="U115" s="108"/>
      <c r="V115" s="108"/>
      <c r="W115" s="108"/>
      <c r="X115" s="100"/>
      <c r="Y115" s="108"/>
      <c r="Z115" s="108"/>
      <c r="AA115" s="108"/>
      <c r="AB115" s="109" t="str">
        <f>IF(Y115&lt;&gt;"", VLOOKUP(Y115, CBH_Taxonomies!C:D, 2, 0), "")</f>
        <v/>
      </c>
      <c r="AC115" s="109"/>
      <c r="AD115" s="109"/>
      <c r="AE115" s="109"/>
      <c r="AF115" s="109"/>
      <c r="AG115" s="102" t="str" cm="1">
        <f t="array" ref="AG115">_xlfn.TEXTJOIN(", ", TRUE, _xlfn.UNIQUE(IF(Sheet2!$A$2:$A$888 = LOAP!Y115, Sheet2!$B$2:$B$888, "")))</f>
        <v/>
      </c>
      <c r="AH115" s="102" t="str" cm="1">
        <f t="array" ref="AH115">_xlfn.TEXTJOIN(", ", TRUE, _xlfn.UNIQUE(IF(Sheet2!$A$2:$A$888 = LOAP!Y115, Sheet2!$C$2:$C$888, "")))</f>
        <v/>
      </c>
      <c r="AI115" s="100"/>
      <c r="AJ115" s="100"/>
      <c r="AK115" s="100"/>
      <c r="AL115" s="100" t="str">
        <f t="shared" si="3"/>
        <v xml:space="preserve"> </v>
      </c>
      <c r="AM115" s="108"/>
      <c r="AN115" s="108"/>
      <c r="AO115" s="108"/>
      <c r="AP115" s="108"/>
      <c r="AQ115" s="100"/>
      <c r="AR115" s="108"/>
      <c r="AS115" s="108"/>
      <c r="AT115" s="108"/>
      <c r="AU115" s="122"/>
    </row>
    <row r="116" spans="1:47" ht="15" customHeight="1" x14ac:dyDescent="0.25">
      <c r="A116" s="42">
        <f t="shared" si="4"/>
        <v>98</v>
      </c>
      <c r="B116" s="108"/>
      <c r="C116" s="108"/>
      <c r="D116" s="108"/>
      <c r="E116" s="108"/>
      <c r="F116" s="100"/>
      <c r="G116" s="62"/>
      <c r="H116" s="63"/>
      <c r="I116" s="108"/>
      <c r="J116" s="108"/>
      <c r="K116" s="108"/>
      <c r="L116" s="111"/>
      <c r="M116" s="108"/>
      <c r="N116" s="108"/>
      <c r="O116" s="107"/>
      <c r="P116" s="45"/>
      <c r="Q116" s="45"/>
      <c r="R116" s="100"/>
      <c r="S116" s="100"/>
      <c r="T116" s="108"/>
      <c r="U116" s="108"/>
      <c r="V116" s="108"/>
      <c r="W116" s="108"/>
      <c r="X116" s="100"/>
      <c r="Y116" s="108"/>
      <c r="Z116" s="108"/>
      <c r="AA116" s="108"/>
      <c r="AB116" s="109" t="str">
        <f>IF(Y116&lt;&gt;"", VLOOKUP(Y116, CBH_Taxonomies!C:D, 2, 0), "")</f>
        <v/>
      </c>
      <c r="AC116" s="109"/>
      <c r="AD116" s="109"/>
      <c r="AE116" s="109"/>
      <c r="AF116" s="109"/>
      <c r="AG116" s="102" t="str" cm="1">
        <f t="array" ref="AG116">_xlfn.TEXTJOIN(", ", TRUE, _xlfn.UNIQUE(IF(Sheet2!$A$2:$A$888 = LOAP!Y116, Sheet2!$B$2:$B$888, "")))</f>
        <v/>
      </c>
      <c r="AH116" s="102" t="str" cm="1">
        <f t="array" ref="AH116">_xlfn.TEXTJOIN(", ", TRUE, _xlfn.UNIQUE(IF(Sheet2!$A$2:$A$888 = LOAP!Y116, Sheet2!$C$2:$C$888, "")))</f>
        <v/>
      </c>
      <c r="AI116" s="100"/>
      <c r="AJ116" s="100"/>
      <c r="AK116" s="100"/>
      <c r="AL116" s="100" t="str">
        <f t="shared" si="3"/>
        <v xml:space="preserve"> </v>
      </c>
      <c r="AM116" s="108"/>
      <c r="AN116" s="108"/>
      <c r="AO116" s="108"/>
      <c r="AP116" s="108"/>
      <c r="AQ116" s="100"/>
      <c r="AR116" s="108"/>
      <c r="AS116" s="108"/>
      <c r="AT116" s="108"/>
      <c r="AU116" s="122"/>
    </row>
    <row r="117" spans="1:47" ht="15" customHeight="1" x14ac:dyDescent="0.25">
      <c r="A117" s="42">
        <f t="shared" si="4"/>
        <v>99</v>
      </c>
      <c r="B117" s="108"/>
      <c r="C117" s="108"/>
      <c r="D117" s="108"/>
      <c r="E117" s="108"/>
      <c r="F117" s="100"/>
      <c r="G117" s="62"/>
      <c r="H117" s="63"/>
      <c r="I117" s="108"/>
      <c r="J117" s="108"/>
      <c r="K117" s="108"/>
      <c r="L117" s="111"/>
      <c r="M117" s="108"/>
      <c r="N117" s="108"/>
      <c r="O117" s="107"/>
      <c r="P117" s="45"/>
      <c r="Q117" s="45"/>
      <c r="R117" s="100"/>
      <c r="S117" s="100"/>
      <c r="T117" s="108"/>
      <c r="U117" s="108"/>
      <c r="V117" s="108"/>
      <c r="W117" s="108"/>
      <c r="X117" s="100"/>
      <c r="Y117" s="108"/>
      <c r="Z117" s="108"/>
      <c r="AA117" s="108"/>
      <c r="AB117" s="109" t="str">
        <f>IF(Y117&lt;&gt;"", VLOOKUP(Y117, CBH_Taxonomies!C:D, 2, 0), "")</f>
        <v/>
      </c>
      <c r="AC117" s="109"/>
      <c r="AD117" s="109"/>
      <c r="AE117" s="109"/>
      <c r="AF117" s="109"/>
      <c r="AG117" s="102" t="str" cm="1">
        <f t="array" ref="AG117">_xlfn.TEXTJOIN(", ", TRUE, _xlfn.UNIQUE(IF(Sheet2!$A$2:$A$888 = LOAP!Y117, Sheet2!$B$2:$B$888, "")))</f>
        <v/>
      </c>
      <c r="AH117" s="102" t="str" cm="1">
        <f t="array" ref="AH117">_xlfn.TEXTJOIN(", ", TRUE, _xlfn.UNIQUE(IF(Sheet2!$A$2:$A$888 = LOAP!Y117, Sheet2!$C$2:$C$888, "")))</f>
        <v/>
      </c>
      <c r="AI117" s="100"/>
      <c r="AJ117" s="100"/>
      <c r="AK117" s="100"/>
      <c r="AL117" s="100" t="str">
        <f t="shared" si="3"/>
        <v xml:space="preserve"> </v>
      </c>
      <c r="AM117" s="108"/>
      <c r="AN117" s="108"/>
      <c r="AO117" s="108"/>
      <c r="AP117" s="108"/>
      <c r="AQ117" s="100"/>
      <c r="AR117" s="108"/>
      <c r="AS117" s="108"/>
      <c r="AT117" s="108"/>
      <c r="AU117" s="122"/>
    </row>
    <row r="118" spans="1:47" ht="15" customHeight="1" thickBot="1" x14ac:dyDescent="0.3">
      <c r="A118" s="46">
        <f t="shared" si="4"/>
        <v>100</v>
      </c>
      <c r="B118" s="117"/>
      <c r="C118" s="117"/>
      <c r="D118" s="117"/>
      <c r="E118" s="117"/>
      <c r="F118" s="101"/>
      <c r="G118" s="68"/>
      <c r="H118" s="69"/>
      <c r="I118" s="117"/>
      <c r="J118" s="117"/>
      <c r="K118" s="117"/>
      <c r="L118" s="117"/>
      <c r="M118" s="188"/>
      <c r="N118" s="188"/>
      <c r="O118" s="101"/>
      <c r="P118" s="70"/>
      <c r="Q118" s="70"/>
      <c r="R118" s="101"/>
      <c r="S118" s="101"/>
      <c r="T118" s="117"/>
      <c r="U118" s="117"/>
      <c r="V118" s="117"/>
      <c r="W118" s="117"/>
      <c r="X118" s="101"/>
      <c r="Y118" s="117"/>
      <c r="Z118" s="117"/>
      <c r="AA118" s="117"/>
      <c r="AB118" s="189" t="str">
        <f>IF(Y118&lt;&gt;"", VLOOKUP(Y118, CBH_Taxonomies!C:D, 2, 0), "")</f>
        <v/>
      </c>
      <c r="AC118" s="189"/>
      <c r="AD118" s="189"/>
      <c r="AE118" s="189"/>
      <c r="AF118" s="189"/>
      <c r="AG118" s="104" t="str" cm="1">
        <f t="array" ref="AG118">_xlfn.TEXTJOIN(", ", TRUE, _xlfn.UNIQUE(IF(Sheet2!$A$2:$A$888 = LOAP!Y118, Sheet2!$B$2:$B$888, "")))</f>
        <v/>
      </c>
      <c r="AH118" s="104" t="str" cm="1">
        <f t="array" ref="AH118">_xlfn.TEXTJOIN(", ", TRUE, _xlfn.UNIQUE(IF(Sheet2!$A$2:$A$888 = LOAP!Y118, Sheet2!$C$2:$C$888, "")))</f>
        <v/>
      </c>
      <c r="AI118" s="101"/>
      <c r="AJ118" s="101"/>
      <c r="AK118" s="101"/>
      <c r="AL118" s="101" t="str">
        <f t="shared" si="3"/>
        <v xml:space="preserve"> </v>
      </c>
      <c r="AM118" s="117"/>
      <c r="AN118" s="117"/>
      <c r="AO118" s="117"/>
      <c r="AP118" s="117"/>
      <c r="AQ118" s="101"/>
      <c r="AR118" s="117"/>
      <c r="AS118" s="117"/>
      <c r="AT118" s="117"/>
      <c r="AU118" s="221"/>
    </row>
    <row r="119" spans="1:47" ht="11.25" hidden="1" customHeight="1" thickBot="1" x14ac:dyDescent="0.3">
      <c r="A119" s="55"/>
      <c r="B119" s="119"/>
      <c r="C119" s="120"/>
      <c r="D119" s="120"/>
      <c r="E119" s="120"/>
      <c r="F119" s="105"/>
      <c r="G119" s="56"/>
      <c r="H119" s="57"/>
      <c r="I119" s="119"/>
      <c r="J119" s="120"/>
      <c r="K119" s="119"/>
      <c r="L119" s="120"/>
      <c r="M119" s="119"/>
      <c r="N119" s="120"/>
      <c r="O119" s="105"/>
      <c r="P119" s="119"/>
      <c r="Q119" s="119"/>
      <c r="R119" s="119"/>
      <c r="S119" s="119"/>
      <c r="T119" s="119"/>
      <c r="U119" s="120"/>
      <c r="V119" s="119"/>
      <c r="W119" s="120"/>
      <c r="X119" s="105"/>
      <c r="Y119" s="121"/>
      <c r="Z119" s="121"/>
      <c r="AA119" s="121"/>
      <c r="AB119" s="121"/>
      <c r="AC119" s="121"/>
      <c r="AD119" s="121"/>
      <c r="AE119" s="121"/>
      <c r="AF119" s="121"/>
      <c r="AM119" s="119"/>
      <c r="AN119" s="120"/>
      <c r="AO119" s="119"/>
      <c r="AP119" s="120"/>
      <c r="AR119" s="119"/>
      <c r="AS119" s="120"/>
      <c r="AT119" s="120"/>
    </row>
    <row r="120" spans="1:47" x14ac:dyDescent="0.25">
      <c r="Y120" s="35"/>
      <c r="Z120" s="35"/>
      <c r="AA120" s="35"/>
      <c r="AB120" s="35"/>
      <c r="AC120" s="35"/>
      <c r="AD120" s="35"/>
      <c r="AE120" s="35"/>
      <c r="AF120" s="35"/>
    </row>
    <row r="121" spans="1:47" x14ac:dyDescent="0.2">
      <c r="V121" s="61"/>
    </row>
  </sheetData>
  <sheetProtection sheet="1" selectLockedCells="1"/>
  <mergeCells count="1333">
    <mergeCell ref="AR109:AU109"/>
    <mergeCell ref="AR110:AU110"/>
    <mergeCell ref="AR111:AU111"/>
    <mergeCell ref="AR112:AU112"/>
    <mergeCell ref="AR113:AU113"/>
    <mergeCell ref="AR114:AU114"/>
    <mergeCell ref="AR115:AU115"/>
    <mergeCell ref="AR116:AU116"/>
    <mergeCell ref="AR117:AU117"/>
    <mergeCell ref="AR118:AU118"/>
    <mergeCell ref="AR88:AU88"/>
    <mergeCell ref="AR89:AU89"/>
    <mergeCell ref="AR90:AU90"/>
    <mergeCell ref="AR91:AU91"/>
    <mergeCell ref="AR92:AU92"/>
    <mergeCell ref="AR93:AU93"/>
    <mergeCell ref="AR94:AU94"/>
    <mergeCell ref="AR95:AU95"/>
    <mergeCell ref="AR96:AU96"/>
    <mergeCell ref="AR97:AU97"/>
    <mergeCell ref="AR98:AU98"/>
    <mergeCell ref="AR99:AU99"/>
    <mergeCell ref="AR100:AU100"/>
    <mergeCell ref="AR101:AU101"/>
    <mergeCell ref="AR102:AU102"/>
    <mergeCell ref="AR103:AU103"/>
    <mergeCell ref="AR104:AU104"/>
    <mergeCell ref="AR80:AU80"/>
    <mergeCell ref="AR81:AU81"/>
    <mergeCell ref="AR82:AU82"/>
    <mergeCell ref="AR85:AU85"/>
    <mergeCell ref="AR86:AU86"/>
    <mergeCell ref="AR87:AU87"/>
    <mergeCell ref="AR83:AU83"/>
    <mergeCell ref="AR84:AU84"/>
    <mergeCell ref="AR105:AU105"/>
    <mergeCell ref="AR106:AU106"/>
    <mergeCell ref="AR107:AU107"/>
    <mergeCell ref="AR108:AU108"/>
    <mergeCell ref="AR58:AU58"/>
    <mergeCell ref="AR59:AU59"/>
    <mergeCell ref="AR60:AU60"/>
    <mergeCell ref="AR61:AU61"/>
    <mergeCell ref="AR62:AU62"/>
    <mergeCell ref="AR63:AU63"/>
    <mergeCell ref="AR64:AU64"/>
    <mergeCell ref="AR65:AU65"/>
    <mergeCell ref="AR66:AU66"/>
    <mergeCell ref="AR67:AU67"/>
    <mergeCell ref="AR68:AU68"/>
    <mergeCell ref="AR69:AU69"/>
    <mergeCell ref="AR70:AU70"/>
    <mergeCell ref="AR71:AU71"/>
    <mergeCell ref="AR72:AU72"/>
    <mergeCell ref="AR73:AU73"/>
    <mergeCell ref="AR74:AU74"/>
    <mergeCell ref="AR75:AU75"/>
    <mergeCell ref="AR76:AU76"/>
    <mergeCell ref="AR77:AU77"/>
    <mergeCell ref="AR55:AU55"/>
    <mergeCell ref="AR56:AU56"/>
    <mergeCell ref="AR57:AU57"/>
    <mergeCell ref="AO51:AP51"/>
    <mergeCell ref="AR42:AU42"/>
    <mergeCell ref="Y39:AA39"/>
    <mergeCell ref="Y40:AA40"/>
    <mergeCell ref="Y41:AA41"/>
    <mergeCell ref="Y43:AA43"/>
    <mergeCell ref="Y44:AA44"/>
    <mergeCell ref="Y45:AA45"/>
    <mergeCell ref="Y46:AA46"/>
    <mergeCell ref="AR50:AU50"/>
    <mergeCell ref="AR51:AU51"/>
    <mergeCell ref="AB49:AF49"/>
    <mergeCell ref="AB50:AF50"/>
    <mergeCell ref="AR79:AU79"/>
    <mergeCell ref="AR78:AU78"/>
    <mergeCell ref="AO79:AP79"/>
    <mergeCell ref="AO71:AP71"/>
    <mergeCell ref="AO57:AP57"/>
    <mergeCell ref="AB66:AF66"/>
    <mergeCell ref="AB67:AF67"/>
    <mergeCell ref="AB68:AF68"/>
    <mergeCell ref="Y57:AA57"/>
    <mergeCell ref="Y58:AA58"/>
    <mergeCell ref="Y51:AA51"/>
    <mergeCell ref="Y52:AA52"/>
    <mergeCell ref="AB51:AF51"/>
    <mergeCell ref="AB52:AF52"/>
    <mergeCell ref="AB57:AF57"/>
    <mergeCell ref="AB58:AF58"/>
    <mergeCell ref="AR30:AU30"/>
    <mergeCell ref="AR31:AU31"/>
    <mergeCell ref="AR32:AU32"/>
    <mergeCell ref="AS9:AU9"/>
    <mergeCell ref="AS10:AU10"/>
    <mergeCell ref="AN9:AQ9"/>
    <mergeCell ref="AN10:AQ10"/>
    <mergeCell ref="AN11:AQ11"/>
    <mergeCell ref="AN12:AQ12"/>
    <mergeCell ref="AN13:AQ13"/>
    <mergeCell ref="AS11:AU11"/>
    <mergeCell ref="AS12:AU12"/>
    <mergeCell ref="AS13:AU13"/>
    <mergeCell ref="AR49:AU49"/>
    <mergeCell ref="AR52:AU52"/>
    <mergeCell ref="AR53:AU53"/>
    <mergeCell ref="AR54:AU54"/>
    <mergeCell ref="AR33:AU33"/>
    <mergeCell ref="AR34:AU34"/>
    <mergeCell ref="AR35:AU35"/>
    <mergeCell ref="AR36:AU36"/>
    <mergeCell ref="AR37:AU37"/>
    <mergeCell ref="AM46:AN46"/>
    <mergeCell ref="AO46:AP46"/>
    <mergeCell ref="AR41:AU41"/>
    <mergeCell ref="AO39:AP39"/>
    <mergeCell ref="AM30:AN30"/>
    <mergeCell ref="AM21:AN21"/>
    <mergeCell ref="AO21:AP21"/>
    <mergeCell ref="AR46:AU46"/>
    <mergeCell ref="AO45:AP45"/>
    <mergeCell ref="AM28:AN28"/>
    <mergeCell ref="A1:AE1"/>
    <mergeCell ref="A3:AE3"/>
    <mergeCell ref="AR3:AU3"/>
    <mergeCell ref="AM17:AN17"/>
    <mergeCell ref="AO17:AP17"/>
    <mergeCell ref="AM18:AP18"/>
    <mergeCell ref="AR17:AU18"/>
    <mergeCell ref="AR19:AU19"/>
    <mergeCell ref="AR20:AU20"/>
    <mergeCell ref="AR21:AU21"/>
    <mergeCell ref="AR22:AU22"/>
    <mergeCell ref="AR23:AU23"/>
    <mergeCell ref="AR24:AU24"/>
    <mergeCell ref="AR25:AU25"/>
    <mergeCell ref="AR26:AU26"/>
    <mergeCell ref="AL17:AL18"/>
    <mergeCell ref="AR29:AU29"/>
    <mergeCell ref="A2:AE2"/>
    <mergeCell ref="T5:AB5"/>
    <mergeCell ref="T6:AB6"/>
    <mergeCell ref="AR27:AU27"/>
    <mergeCell ref="AR28:AU28"/>
    <mergeCell ref="G17:G18"/>
    <mergeCell ref="H17:H18"/>
    <mergeCell ref="AC10:AE10"/>
    <mergeCell ref="B11:K11"/>
    <mergeCell ref="Y11:Z11"/>
    <mergeCell ref="AA11:AB11"/>
    <mergeCell ref="B10:K10"/>
    <mergeCell ref="A4:AU4"/>
    <mergeCell ref="A5:K5"/>
    <mergeCell ref="L5:M5"/>
    <mergeCell ref="AO117:AP117"/>
    <mergeCell ref="M107:N107"/>
    <mergeCell ref="T107:U107"/>
    <mergeCell ref="V107:W107"/>
    <mergeCell ref="AM107:AN107"/>
    <mergeCell ref="Y109:AA109"/>
    <mergeCell ref="Y110:AA110"/>
    <mergeCell ref="AB109:AF109"/>
    <mergeCell ref="AO105:AP105"/>
    <mergeCell ref="I106:J106"/>
    <mergeCell ref="K106:L106"/>
    <mergeCell ref="M106:N106"/>
    <mergeCell ref="T106:U106"/>
    <mergeCell ref="AC11:AE11"/>
    <mergeCell ref="AC13:AE13"/>
    <mergeCell ref="V18:W18"/>
    <mergeCell ref="O17:O18"/>
    <mergeCell ref="M17:N18"/>
    <mergeCell ref="M37:N37"/>
    <mergeCell ref="T34:U34"/>
    <mergeCell ref="V34:W34"/>
    <mergeCell ref="K36:L36"/>
    <mergeCell ref="M36:N36"/>
    <mergeCell ref="I37:J37"/>
    <mergeCell ref="K37:L37"/>
    <mergeCell ref="I23:J23"/>
    <mergeCell ref="I24:J24"/>
    <mergeCell ref="I26:J26"/>
    <mergeCell ref="I27:J27"/>
    <mergeCell ref="K26:L26"/>
    <mergeCell ref="Y103:AA103"/>
    <mergeCell ref="AB99:AF99"/>
    <mergeCell ref="D111:E111"/>
    <mergeCell ref="D112:E112"/>
    <mergeCell ref="T116:U116"/>
    <mergeCell ref="V116:W116"/>
    <mergeCell ref="AM116:AN116"/>
    <mergeCell ref="AO116:AP116"/>
    <mergeCell ref="I115:J115"/>
    <mergeCell ref="K115:L115"/>
    <mergeCell ref="M115:N115"/>
    <mergeCell ref="T115:U115"/>
    <mergeCell ref="V115:W115"/>
    <mergeCell ref="AM115:AN115"/>
    <mergeCell ref="AO113:AP113"/>
    <mergeCell ref="I114:J114"/>
    <mergeCell ref="K114:L114"/>
    <mergeCell ref="M114:N114"/>
    <mergeCell ref="T114:U114"/>
    <mergeCell ref="V114:W114"/>
    <mergeCell ref="AM114:AN114"/>
    <mergeCell ref="AO114:AP114"/>
    <mergeCell ref="I118:J118"/>
    <mergeCell ref="K118:L118"/>
    <mergeCell ref="M118:N118"/>
    <mergeCell ref="T118:U118"/>
    <mergeCell ref="V118:W118"/>
    <mergeCell ref="AM118:AN118"/>
    <mergeCell ref="AO118:AP118"/>
    <mergeCell ref="I117:J117"/>
    <mergeCell ref="I113:J113"/>
    <mergeCell ref="T113:U113"/>
    <mergeCell ref="V113:W113"/>
    <mergeCell ref="I111:J111"/>
    <mergeCell ref="K111:L111"/>
    <mergeCell ref="M111:N111"/>
    <mergeCell ref="T111:U111"/>
    <mergeCell ref="V111:W111"/>
    <mergeCell ref="AM111:AN111"/>
    <mergeCell ref="K113:L113"/>
    <mergeCell ref="M113:N113"/>
    <mergeCell ref="Y117:AA117"/>
    <mergeCell ref="Y118:AA118"/>
    <mergeCell ref="Y111:AA111"/>
    <mergeCell ref="Y112:AA112"/>
    <mergeCell ref="Y113:AA113"/>
    <mergeCell ref="Y114:AA114"/>
    <mergeCell ref="AB117:AF117"/>
    <mergeCell ref="AB118:AF118"/>
    <mergeCell ref="K117:L117"/>
    <mergeCell ref="M117:N117"/>
    <mergeCell ref="T117:U117"/>
    <mergeCell ref="V117:W117"/>
    <mergeCell ref="AM117:AN117"/>
    <mergeCell ref="B113:C113"/>
    <mergeCell ref="Y115:AA115"/>
    <mergeCell ref="Y116:AA116"/>
    <mergeCell ref="AB113:AF113"/>
    <mergeCell ref="AB114:AF114"/>
    <mergeCell ref="AB115:AF115"/>
    <mergeCell ref="AB116:AF116"/>
    <mergeCell ref="AM113:AN113"/>
    <mergeCell ref="I112:J112"/>
    <mergeCell ref="K112:L112"/>
    <mergeCell ref="M112:N112"/>
    <mergeCell ref="T112:U112"/>
    <mergeCell ref="AO109:AP109"/>
    <mergeCell ref="I110:J110"/>
    <mergeCell ref="K110:L110"/>
    <mergeCell ref="M110:N110"/>
    <mergeCell ref="T110:U110"/>
    <mergeCell ref="V110:W110"/>
    <mergeCell ref="AM110:AN110"/>
    <mergeCell ref="AO110:AP110"/>
    <mergeCell ref="I109:J109"/>
    <mergeCell ref="K109:L109"/>
    <mergeCell ref="M109:N109"/>
    <mergeCell ref="T109:U109"/>
    <mergeCell ref="V109:W109"/>
    <mergeCell ref="AM109:AN109"/>
    <mergeCell ref="B109:C109"/>
    <mergeCell ref="B111:C111"/>
    <mergeCell ref="AO115:AP115"/>
    <mergeCell ref="I116:J116"/>
    <mergeCell ref="K116:L116"/>
    <mergeCell ref="M116:N116"/>
    <mergeCell ref="B112:C112"/>
    <mergeCell ref="AB111:AF111"/>
    <mergeCell ref="AB112:AF112"/>
    <mergeCell ref="AO111:AP111"/>
    <mergeCell ref="V112:W112"/>
    <mergeCell ref="AM112:AN112"/>
    <mergeCell ref="AO112:AP112"/>
    <mergeCell ref="AO103:AP103"/>
    <mergeCell ref="I104:J104"/>
    <mergeCell ref="K104:L104"/>
    <mergeCell ref="M104:N104"/>
    <mergeCell ref="B110:C110"/>
    <mergeCell ref="D109:E109"/>
    <mergeCell ref="D110:E110"/>
    <mergeCell ref="AO107:AP107"/>
    <mergeCell ref="I108:J108"/>
    <mergeCell ref="K108:L108"/>
    <mergeCell ref="M108:N108"/>
    <mergeCell ref="T108:U108"/>
    <mergeCell ref="V108:W108"/>
    <mergeCell ref="AM108:AN108"/>
    <mergeCell ref="AO108:AP108"/>
    <mergeCell ref="I107:J107"/>
    <mergeCell ref="K107:L107"/>
    <mergeCell ref="B107:C107"/>
    <mergeCell ref="B108:C108"/>
    <mergeCell ref="D107:E107"/>
    <mergeCell ref="D108:E108"/>
    <mergeCell ref="V106:W106"/>
    <mergeCell ref="AM106:AN106"/>
    <mergeCell ref="AO106:AP106"/>
    <mergeCell ref="I105:J105"/>
    <mergeCell ref="K105:L105"/>
    <mergeCell ref="M105:N105"/>
    <mergeCell ref="T105:U105"/>
    <mergeCell ref="V105:W105"/>
    <mergeCell ref="AM105:AN105"/>
    <mergeCell ref="B105:C105"/>
    <mergeCell ref="B106:C106"/>
    <mergeCell ref="D105:E105"/>
    <mergeCell ref="D106:E106"/>
    <mergeCell ref="T104:U104"/>
    <mergeCell ref="V104:W104"/>
    <mergeCell ref="AM104:AN104"/>
    <mergeCell ref="AO104:AP104"/>
    <mergeCell ref="B104:C104"/>
    <mergeCell ref="D104:E104"/>
    <mergeCell ref="Y104:AA104"/>
    <mergeCell ref="Y105:AA105"/>
    <mergeCell ref="Y106:AA106"/>
    <mergeCell ref="I103:J103"/>
    <mergeCell ref="K103:L103"/>
    <mergeCell ref="M103:N103"/>
    <mergeCell ref="T103:U103"/>
    <mergeCell ref="V103:W103"/>
    <mergeCell ref="AM103:AN103"/>
    <mergeCell ref="B99:C99"/>
    <mergeCell ref="B100:C100"/>
    <mergeCell ref="D99:E99"/>
    <mergeCell ref="D100:E100"/>
    <mergeCell ref="AO101:AP101"/>
    <mergeCell ref="I102:J102"/>
    <mergeCell ref="K102:L102"/>
    <mergeCell ref="M102:N102"/>
    <mergeCell ref="T102:U102"/>
    <mergeCell ref="V102:W102"/>
    <mergeCell ref="AM102:AN102"/>
    <mergeCell ref="AO102:AP102"/>
    <mergeCell ref="I101:J101"/>
    <mergeCell ref="K101:L101"/>
    <mergeCell ref="M101:N101"/>
    <mergeCell ref="T101:U101"/>
    <mergeCell ref="V101:W101"/>
    <mergeCell ref="AM101:AN101"/>
    <mergeCell ref="B103:C103"/>
    <mergeCell ref="D103:E103"/>
    <mergeCell ref="AB100:AF100"/>
    <mergeCell ref="B101:C101"/>
    <mergeCell ref="B102:C102"/>
    <mergeCell ref="D101:E101"/>
    <mergeCell ref="D102:E102"/>
    <mergeCell ref="AO99:AP99"/>
    <mergeCell ref="I100:J100"/>
    <mergeCell ref="K100:L100"/>
    <mergeCell ref="M100:N100"/>
    <mergeCell ref="T100:U100"/>
    <mergeCell ref="V100:W100"/>
    <mergeCell ref="AM100:AN100"/>
    <mergeCell ref="AO100:AP100"/>
    <mergeCell ref="I99:J99"/>
    <mergeCell ref="K99:L99"/>
    <mergeCell ref="M99:N99"/>
    <mergeCell ref="T99:U99"/>
    <mergeCell ref="V99:W99"/>
    <mergeCell ref="AM99:AN99"/>
    <mergeCell ref="Y101:AA101"/>
    <mergeCell ref="Y102:AA102"/>
    <mergeCell ref="I97:J97"/>
    <mergeCell ref="K97:L97"/>
    <mergeCell ref="M97:N97"/>
    <mergeCell ref="T97:U97"/>
    <mergeCell ref="V97:W97"/>
    <mergeCell ref="AM97:AN97"/>
    <mergeCell ref="K98:L98"/>
    <mergeCell ref="M98:N98"/>
    <mergeCell ref="T98:U98"/>
    <mergeCell ref="V98:W98"/>
    <mergeCell ref="AM98:AN98"/>
    <mergeCell ref="AO98:AP98"/>
    <mergeCell ref="B97:C97"/>
    <mergeCell ref="B98:C98"/>
    <mergeCell ref="D97:E97"/>
    <mergeCell ref="D98:E98"/>
    <mergeCell ref="T96:U96"/>
    <mergeCell ref="V96:W96"/>
    <mergeCell ref="AM96:AN96"/>
    <mergeCell ref="AO96:AP96"/>
    <mergeCell ref="I95:J95"/>
    <mergeCell ref="K95:L95"/>
    <mergeCell ref="M95:N95"/>
    <mergeCell ref="T95:U95"/>
    <mergeCell ref="V95:W95"/>
    <mergeCell ref="AM95:AN95"/>
    <mergeCell ref="B95:C95"/>
    <mergeCell ref="B96:C96"/>
    <mergeCell ref="D95:E95"/>
    <mergeCell ref="D96:E96"/>
    <mergeCell ref="AB97:AF97"/>
    <mergeCell ref="AB98:AF98"/>
    <mergeCell ref="AO95:AP95"/>
    <mergeCell ref="I96:J96"/>
    <mergeCell ref="K96:L96"/>
    <mergeCell ref="M96:N96"/>
    <mergeCell ref="AO97:AP97"/>
    <mergeCell ref="I98:J98"/>
    <mergeCell ref="B91:C91"/>
    <mergeCell ref="B92:C92"/>
    <mergeCell ref="D91:E91"/>
    <mergeCell ref="D92:E92"/>
    <mergeCell ref="AO93:AP93"/>
    <mergeCell ref="I94:J94"/>
    <mergeCell ref="K94:L94"/>
    <mergeCell ref="M94:N94"/>
    <mergeCell ref="T94:U94"/>
    <mergeCell ref="V94:W94"/>
    <mergeCell ref="AM94:AN94"/>
    <mergeCell ref="AO94:AP94"/>
    <mergeCell ref="I93:J93"/>
    <mergeCell ref="K93:L93"/>
    <mergeCell ref="M93:N93"/>
    <mergeCell ref="T93:U93"/>
    <mergeCell ref="V93:W93"/>
    <mergeCell ref="AM93:AN93"/>
    <mergeCell ref="B93:C93"/>
    <mergeCell ref="B94:C94"/>
    <mergeCell ref="D93:E93"/>
    <mergeCell ref="D94:E94"/>
    <mergeCell ref="AO91:AP91"/>
    <mergeCell ref="I92:J92"/>
    <mergeCell ref="K92:L92"/>
    <mergeCell ref="M92:N92"/>
    <mergeCell ref="T92:U92"/>
    <mergeCell ref="V92:W92"/>
    <mergeCell ref="AM92:AN92"/>
    <mergeCell ref="AO92:AP92"/>
    <mergeCell ref="I91:J91"/>
    <mergeCell ref="K91:L91"/>
    <mergeCell ref="M91:N91"/>
    <mergeCell ref="T91:U91"/>
    <mergeCell ref="V91:W91"/>
    <mergeCell ref="AM91:AN91"/>
    <mergeCell ref="Y93:AA93"/>
    <mergeCell ref="Y94:AA94"/>
    <mergeCell ref="I89:J89"/>
    <mergeCell ref="K89:L89"/>
    <mergeCell ref="M89:N89"/>
    <mergeCell ref="T89:U89"/>
    <mergeCell ref="V89:W89"/>
    <mergeCell ref="AM89:AN89"/>
    <mergeCell ref="M90:N90"/>
    <mergeCell ref="T90:U90"/>
    <mergeCell ref="V90:W90"/>
    <mergeCell ref="AM90:AN90"/>
    <mergeCell ref="AO90:AP90"/>
    <mergeCell ref="B89:C89"/>
    <mergeCell ref="B90:C90"/>
    <mergeCell ref="D89:E89"/>
    <mergeCell ref="D90:E90"/>
    <mergeCell ref="T88:U88"/>
    <mergeCell ref="V88:W88"/>
    <mergeCell ref="AM88:AN88"/>
    <mergeCell ref="AO88:AP88"/>
    <mergeCell ref="I87:J87"/>
    <mergeCell ref="K87:L87"/>
    <mergeCell ref="M87:N87"/>
    <mergeCell ref="T87:U87"/>
    <mergeCell ref="V87:W87"/>
    <mergeCell ref="AM87:AN87"/>
    <mergeCell ref="B87:C87"/>
    <mergeCell ref="B88:C88"/>
    <mergeCell ref="D87:E87"/>
    <mergeCell ref="D88:E88"/>
    <mergeCell ref="Y87:AA87"/>
    <mergeCell ref="AO87:AP87"/>
    <mergeCell ref="I88:J88"/>
    <mergeCell ref="K88:L88"/>
    <mergeCell ref="M88:N88"/>
    <mergeCell ref="AO89:AP89"/>
    <mergeCell ref="I90:J90"/>
    <mergeCell ref="K90:L90"/>
    <mergeCell ref="B83:C83"/>
    <mergeCell ref="B84:C84"/>
    <mergeCell ref="D83:E83"/>
    <mergeCell ref="D84:E84"/>
    <mergeCell ref="AO85:AP85"/>
    <mergeCell ref="I86:J86"/>
    <mergeCell ref="K86:L86"/>
    <mergeCell ref="M86:N86"/>
    <mergeCell ref="T86:U86"/>
    <mergeCell ref="V86:W86"/>
    <mergeCell ref="AM86:AN86"/>
    <mergeCell ref="AO86:AP86"/>
    <mergeCell ref="I85:J85"/>
    <mergeCell ref="K85:L85"/>
    <mergeCell ref="M85:N85"/>
    <mergeCell ref="T85:U85"/>
    <mergeCell ref="V85:W85"/>
    <mergeCell ref="AM85:AN85"/>
    <mergeCell ref="AB85:AF85"/>
    <mergeCell ref="AB86:AF86"/>
    <mergeCell ref="B85:C85"/>
    <mergeCell ref="B86:C86"/>
    <mergeCell ref="D85:E85"/>
    <mergeCell ref="D86:E86"/>
    <mergeCell ref="AO83:AP83"/>
    <mergeCell ref="I84:J84"/>
    <mergeCell ref="K84:L84"/>
    <mergeCell ref="K82:L82"/>
    <mergeCell ref="M82:N82"/>
    <mergeCell ref="M84:N84"/>
    <mergeCell ref="T84:U84"/>
    <mergeCell ref="V84:W84"/>
    <mergeCell ref="AM84:AN84"/>
    <mergeCell ref="AO84:AP84"/>
    <mergeCell ref="I83:J83"/>
    <mergeCell ref="K83:L83"/>
    <mergeCell ref="M83:N83"/>
    <mergeCell ref="T83:U83"/>
    <mergeCell ref="V83:W83"/>
    <mergeCell ref="AM83:AN83"/>
    <mergeCell ref="Y85:AA85"/>
    <mergeCell ref="Y86:AA86"/>
    <mergeCell ref="K81:L81"/>
    <mergeCell ref="M81:N81"/>
    <mergeCell ref="T81:U81"/>
    <mergeCell ref="V81:W81"/>
    <mergeCell ref="AM81:AN81"/>
    <mergeCell ref="T82:U82"/>
    <mergeCell ref="V82:W82"/>
    <mergeCell ref="AM82:AN82"/>
    <mergeCell ref="AO82:AP82"/>
    <mergeCell ref="I81:J81"/>
    <mergeCell ref="AO75:AP75"/>
    <mergeCell ref="I76:J76"/>
    <mergeCell ref="K76:L76"/>
    <mergeCell ref="M76:N76"/>
    <mergeCell ref="T76:U76"/>
    <mergeCell ref="V76:W76"/>
    <mergeCell ref="AM76:AN76"/>
    <mergeCell ref="B81:C81"/>
    <mergeCell ref="B82:C82"/>
    <mergeCell ref="D81:E81"/>
    <mergeCell ref="D82:E82"/>
    <mergeCell ref="Y82:AA82"/>
    <mergeCell ref="T80:U80"/>
    <mergeCell ref="V80:W80"/>
    <mergeCell ref="AM80:AN80"/>
    <mergeCell ref="AO80:AP80"/>
    <mergeCell ref="I79:J79"/>
    <mergeCell ref="K79:L79"/>
    <mergeCell ref="M79:N79"/>
    <mergeCell ref="T79:U79"/>
    <mergeCell ref="V79:W79"/>
    <mergeCell ref="AM79:AN79"/>
    <mergeCell ref="B79:C79"/>
    <mergeCell ref="B80:C80"/>
    <mergeCell ref="D79:E79"/>
    <mergeCell ref="D80:E80"/>
    <mergeCell ref="Y81:AA81"/>
    <mergeCell ref="I80:J80"/>
    <mergeCell ref="K80:L80"/>
    <mergeCell ref="M80:N80"/>
    <mergeCell ref="AO81:AP81"/>
    <mergeCell ref="I82:J82"/>
    <mergeCell ref="I78:J78"/>
    <mergeCell ref="K78:L78"/>
    <mergeCell ref="M78:N78"/>
    <mergeCell ref="T78:U78"/>
    <mergeCell ref="V78:W78"/>
    <mergeCell ref="AM78:AN78"/>
    <mergeCell ref="AO78:AP78"/>
    <mergeCell ref="I77:J77"/>
    <mergeCell ref="K77:L77"/>
    <mergeCell ref="M77:N77"/>
    <mergeCell ref="T77:U77"/>
    <mergeCell ref="V77:W77"/>
    <mergeCell ref="AM77:AN77"/>
    <mergeCell ref="B77:C77"/>
    <mergeCell ref="B78:C78"/>
    <mergeCell ref="D77:E77"/>
    <mergeCell ref="D78:E78"/>
    <mergeCell ref="AO76:AP76"/>
    <mergeCell ref="I75:J75"/>
    <mergeCell ref="K75:L75"/>
    <mergeCell ref="M75:N75"/>
    <mergeCell ref="T75:U75"/>
    <mergeCell ref="V75:W75"/>
    <mergeCell ref="AM75:AN75"/>
    <mergeCell ref="Y77:AA77"/>
    <mergeCell ref="Y78:AA78"/>
    <mergeCell ref="K73:L73"/>
    <mergeCell ref="M73:N73"/>
    <mergeCell ref="T73:U73"/>
    <mergeCell ref="V73:W73"/>
    <mergeCell ref="AM73:AN73"/>
    <mergeCell ref="B73:C73"/>
    <mergeCell ref="B74:C74"/>
    <mergeCell ref="D73:E73"/>
    <mergeCell ref="D74:E74"/>
    <mergeCell ref="AO73:AP73"/>
    <mergeCell ref="I74:J74"/>
    <mergeCell ref="K74:L74"/>
    <mergeCell ref="M74:N74"/>
    <mergeCell ref="T74:U74"/>
    <mergeCell ref="V74:W74"/>
    <mergeCell ref="AM74:AN74"/>
    <mergeCell ref="AO74:AP74"/>
    <mergeCell ref="I73:J73"/>
    <mergeCell ref="B75:C75"/>
    <mergeCell ref="B76:C76"/>
    <mergeCell ref="D75:E75"/>
    <mergeCell ref="D76:E76"/>
    <mergeCell ref="AO77:AP77"/>
    <mergeCell ref="T72:U72"/>
    <mergeCell ref="V72:W72"/>
    <mergeCell ref="AM72:AN72"/>
    <mergeCell ref="AO72:AP72"/>
    <mergeCell ref="I71:J71"/>
    <mergeCell ref="K71:L71"/>
    <mergeCell ref="M71:N71"/>
    <mergeCell ref="T71:U71"/>
    <mergeCell ref="V71:W71"/>
    <mergeCell ref="AM71:AN71"/>
    <mergeCell ref="B71:C71"/>
    <mergeCell ref="B72:C72"/>
    <mergeCell ref="D71:E71"/>
    <mergeCell ref="D72:E72"/>
    <mergeCell ref="I72:J72"/>
    <mergeCell ref="K72:L72"/>
    <mergeCell ref="M72:N72"/>
    <mergeCell ref="B67:C67"/>
    <mergeCell ref="B68:C68"/>
    <mergeCell ref="D67:E67"/>
    <mergeCell ref="D68:E68"/>
    <mergeCell ref="AO69:AP69"/>
    <mergeCell ref="I70:J70"/>
    <mergeCell ref="K70:L70"/>
    <mergeCell ref="M70:N70"/>
    <mergeCell ref="T70:U70"/>
    <mergeCell ref="V70:W70"/>
    <mergeCell ref="AM70:AN70"/>
    <mergeCell ref="AO70:AP70"/>
    <mergeCell ref="I69:J69"/>
    <mergeCell ref="K69:L69"/>
    <mergeCell ref="M69:N69"/>
    <mergeCell ref="T69:U69"/>
    <mergeCell ref="V69:W69"/>
    <mergeCell ref="AM69:AN69"/>
    <mergeCell ref="B69:C69"/>
    <mergeCell ref="B70:C70"/>
    <mergeCell ref="D69:E69"/>
    <mergeCell ref="D70:E70"/>
    <mergeCell ref="AO67:AP67"/>
    <mergeCell ref="I68:J68"/>
    <mergeCell ref="K68:L68"/>
    <mergeCell ref="M68:N68"/>
    <mergeCell ref="T68:U68"/>
    <mergeCell ref="V68:W68"/>
    <mergeCell ref="AM68:AN68"/>
    <mergeCell ref="AO68:AP68"/>
    <mergeCell ref="I67:J67"/>
    <mergeCell ref="K67:L67"/>
    <mergeCell ref="M67:N67"/>
    <mergeCell ref="T67:U67"/>
    <mergeCell ref="V67:W67"/>
    <mergeCell ref="AM67:AN67"/>
    <mergeCell ref="Y69:AA69"/>
    <mergeCell ref="Y70:AA70"/>
    <mergeCell ref="B63:C63"/>
    <mergeCell ref="B64:C64"/>
    <mergeCell ref="D63:E63"/>
    <mergeCell ref="D64:E64"/>
    <mergeCell ref="AO65:AP65"/>
    <mergeCell ref="I66:J66"/>
    <mergeCell ref="K66:L66"/>
    <mergeCell ref="M66:N66"/>
    <mergeCell ref="T66:U66"/>
    <mergeCell ref="V66:W66"/>
    <mergeCell ref="AM66:AN66"/>
    <mergeCell ref="AO66:AP66"/>
    <mergeCell ref="I65:J65"/>
    <mergeCell ref="K65:L65"/>
    <mergeCell ref="M65:N65"/>
    <mergeCell ref="T65:U65"/>
    <mergeCell ref="V65:W65"/>
    <mergeCell ref="AM65:AN65"/>
    <mergeCell ref="B65:C65"/>
    <mergeCell ref="B66:C66"/>
    <mergeCell ref="D65:E65"/>
    <mergeCell ref="D66:E66"/>
    <mergeCell ref="AO63:AP63"/>
    <mergeCell ref="I64:J64"/>
    <mergeCell ref="K64:L64"/>
    <mergeCell ref="M64:N64"/>
    <mergeCell ref="I58:J58"/>
    <mergeCell ref="K58:L58"/>
    <mergeCell ref="M58:N58"/>
    <mergeCell ref="T64:U64"/>
    <mergeCell ref="V64:W64"/>
    <mergeCell ref="AM64:AN64"/>
    <mergeCell ref="AO64:AP64"/>
    <mergeCell ref="I63:J63"/>
    <mergeCell ref="K63:L63"/>
    <mergeCell ref="M63:N63"/>
    <mergeCell ref="T63:U63"/>
    <mergeCell ref="V63:W63"/>
    <mergeCell ref="AM63:AN63"/>
    <mergeCell ref="B59:C59"/>
    <mergeCell ref="B60:C60"/>
    <mergeCell ref="D59:E59"/>
    <mergeCell ref="D60:E60"/>
    <mergeCell ref="AO61:AP61"/>
    <mergeCell ref="I62:J62"/>
    <mergeCell ref="K62:L62"/>
    <mergeCell ref="M62:N62"/>
    <mergeCell ref="T62:U62"/>
    <mergeCell ref="V62:W62"/>
    <mergeCell ref="AM62:AN62"/>
    <mergeCell ref="AO62:AP62"/>
    <mergeCell ref="I61:J61"/>
    <mergeCell ref="K61:L61"/>
    <mergeCell ref="M61:N61"/>
    <mergeCell ref="T61:U61"/>
    <mergeCell ref="V61:W61"/>
    <mergeCell ref="AM61:AN61"/>
    <mergeCell ref="B61:C61"/>
    <mergeCell ref="B62:C62"/>
    <mergeCell ref="D61:E61"/>
    <mergeCell ref="D62:E62"/>
    <mergeCell ref="AO59:AP59"/>
    <mergeCell ref="I60:J60"/>
    <mergeCell ref="K60:L60"/>
    <mergeCell ref="M60:N60"/>
    <mergeCell ref="T60:U60"/>
    <mergeCell ref="V60:W60"/>
    <mergeCell ref="AM60:AN60"/>
    <mergeCell ref="AO60:AP60"/>
    <mergeCell ref="I59:J59"/>
    <mergeCell ref="K59:L59"/>
    <mergeCell ref="M59:N59"/>
    <mergeCell ref="T59:U59"/>
    <mergeCell ref="V59:W59"/>
    <mergeCell ref="AM59:AN59"/>
    <mergeCell ref="Y59:AA59"/>
    <mergeCell ref="Y60:AA60"/>
    <mergeCell ref="Y61:AA61"/>
    <mergeCell ref="Y62:AA62"/>
    <mergeCell ref="AB59:AF59"/>
    <mergeCell ref="AB60:AF60"/>
    <mergeCell ref="AB61:AF61"/>
    <mergeCell ref="AB62:AF62"/>
    <mergeCell ref="T58:U58"/>
    <mergeCell ref="V58:W58"/>
    <mergeCell ref="AM58:AN58"/>
    <mergeCell ref="AO58:AP58"/>
    <mergeCell ref="I57:J57"/>
    <mergeCell ref="K57:L57"/>
    <mergeCell ref="M57:N57"/>
    <mergeCell ref="T57:U57"/>
    <mergeCell ref="V57:W57"/>
    <mergeCell ref="AM57:AN57"/>
    <mergeCell ref="B57:C57"/>
    <mergeCell ref="B58:C58"/>
    <mergeCell ref="D57:E57"/>
    <mergeCell ref="D58:E58"/>
    <mergeCell ref="Y50:AA50"/>
    <mergeCell ref="T56:U56"/>
    <mergeCell ref="V56:W56"/>
    <mergeCell ref="AM56:AN56"/>
    <mergeCell ref="AO56:AP56"/>
    <mergeCell ref="I55:J55"/>
    <mergeCell ref="K55:L55"/>
    <mergeCell ref="M55:N55"/>
    <mergeCell ref="T55:U55"/>
    <mergeCell ref="V55:W55"/>
    <mergeCell ref="AM55:AN55"/>
    <mergeCell ref="B51:C51"/>
    <mergeCell ref="B52:C52"/>
    <mergeCell ref="D51:E51"/>
    <mergeCell ref="D52:E52"/>
    <mergeCell ref="AO53:AP53"/>
    <mergeCell ref="I54:J54"/>
    <mergeCell ref="K54:L54"/>
    <mergeCell ref="M54:N54"/>
    <mergeCell ref="T54:U54"/>
    <mergeCell ref="V54:W54"/>
    <mergeCell ref="AM54:AN54"/>
    <mergeCell ref="AO54:AP54"/>
    <mergeCell ref="I53:J53"/>
    <mergeCell ref="K53:L53"/>
    <mergeCell ref="M53:N53"/>
    <mergeCell ref="T53:U53"/>
    <mergeCell ref="V53:W53"/>
    <mergeCell ref="AM53:AN53"/>
    <mergeCell ref="B55:C55"/>
    <mergeCell ref="B56:C56"/>
    <mergeCell ref="D55:E55"/>
    <mergeCell ref="B53:C53"/>
    <mergeCell ref="B54:C54"/>
    <mergeCell ref="D53:E53"/>
    <mergeCell ref="D54:E54"/>
    <mergeCell ref="AO55:AP55"/>
    <mergeCell ref="I56:J56"/>
    <mergeCell ref="K56:L56"/>
    <mergeCell ref="M56:N56"/>
    <mergeCell ref="D56:E56"/>
    <mergeCell ref="Y53:AA53"/>
    <mergeCell ref="Y54:AA54"/>
    <mergeCell ref="Y55:AA55"/>
    <mergeCell ref="Y56:AA56"/>
    <mergeCell ref="AB53:AF53"/>
    <mergeCell ref="AB54:AF54"/>
    <mergeCell ref="AB55:AF55"/>
    <mergeCell ref="AB56:AF56"/>
    <mergeCell ref="B47:C47"/>
    <mergeCell ref="B48:C48"/>
    <mergeCell ref="D47:E47"/>
    <mergeCell ref="D48:E48"/>
    <mergeCell ref="AO49:AP49"/>
    <mergeCell ref="I50:J50"/>
    <mergeCell ref="K50:L50"/>
    <mergeCell ref="M50:N50"/>
    <mergeCell ref="T50:U50"/>
    <mergeCell ref="V50:W50"/>
    <mergeCell ref="AM50:AN50"/>
    <mergeCell ref="AO50:AP50"/>
    <mergeCell ref="I49:J49"/>
    <mergeCell ref="K49:L49"/>
    <mergeCell ref="M49:N49"/>
    <mergeCell ref="T49:U49"/>
    <mergeCell ref="V49:W49"/>
    <mergeCell ref="AM49:AN49"/>
    <mergeCell ref="K46:L46"/>
    <mergeCell ref="M46:N46"/>
    <mergeCell ref="T46:U46"/>
    <mergeCell ref="V46:W46"/>
    <mergeCell ref="I52:J52"/>
    <mergeCell ref="K52:L52"/>
    <mergeCell ref="M52:N52"/>
    <mergeCell ref="T52:U52"/>
    <mergeCell ref="V52:W52"/>
    <mergeCell ref="AM52:AN52"/>
    <mergeCell ref="AO52:AP52"/>
    <mergeCell ref="I51:J51"/>
    <mergeCell ref="K51:L51"/>
    <mergeCell ref="M51:N51"/>
    <mergeCell ref="T51:U51"/>
    <mergeCell ref="V51:W51"/>
    <mergeCell ref="AM51:AN51"/>
    <mergeCell ref="AM37:AN37"/>
    <mergeCell ref="AO37:AP37"/>
    <mergeCell ref="K34:L34"/>
    <mergeCell ref="M34:N34"/>
    <mergeCell ref="T36:U36"/>
    <mergeCell ref="AR38:AU38"/>
    <mergeCell ref="AR39:AU39"/>
    <mergeCell ref="AR40:AU40"/>
    <mergeCell ref="B49:C49"/>
    <mergeCell ref="B50:C50"/>
    <mergeCell ref="D49:E49"/>
    <mergeCell ref="D50:E50"/>
    <mergeCell ref="AO47:AP47"/>
    <mergeCell ref="I48:J48"/>
    <mergeCell ref="K48:L48"/>
    <mergeCell ref="M48:N48"/>
    <mergeCell ref="Y49:AA49"/>
    <mergeCell ref="AO34:AP34"/>
    <mergeCell ref="I36:J36"/>
    <mergeCell ref="Y42:AA42"/>
    <mergeCell ref="AR43:AU43"/>
    <mergeCell ref="AR44:AU44"/>
    <mergeCell ref="T48:U48"/>
    <mergeCell ref="V48:W48"/>
    <mergeCell ref="AM48:AN48"/>
    <mergeCell ref="AO48:AP48"/>
    <mergeCell ref="I47:J47"/>
    <mergeCell ref="K47:L47"/>
    <mergeCell ref="M47:N47"/>
    <mergeCell ref="T47:U47"/>
    <mergeCell ref="V47:W47"/>
    <mergeCell ref="I46:J46"/>
    <mergeCell ref="AM39:AN39"/>
    <mergeCell ref="I38:J38"/>
    <mergeCell ref="K38:L38"/>
    <mergeCell ref="M38:N38"/>
    <mergeCell ref="T38:U38"/>
    <mergeCell ref="V38:W38"/>
    <mergeCell ref="AM38:AN38"/>
    <mergeCell ref="AO38:AP38"/>
    <mergeCell ref="I45:J45"/>
    <mergeCell ref="K45:L45"/>
    <mergeCell ref="M45:N45"/>
    <mergeCell ref="T45:U45"/>
    <mergeCell ref="V45:W45"/>
    <mergeCell ref="AM45:AN45"/>
    <mergeCell ref="AR45:AU45"/>
    <mergeCell ref="M33:N33"/>
    <mergeCell ref="T37:U37"/>
    <mergeCell ref="AO41:AP41"/>
    <mergeCell ref="I42:J42"/>
    <mergeCell ref="K42:L42"/>
    <mergeCell ref="M42:N42"/>
    <mergeCell ref="T42:U42"/>
    <mergeCell ref="V42:W42"/>
    <mergeCell ref="AM42:AN42"/>
    <mergeCell ref="AO42:AP42"/>
    <mergeCell ref="I41:J41"/>
    <mergeCell ref="K41:L41"/>
    <mergeCell ref="M41:N41"/>
    <mergeCell ref="T41:U41"/>
    <mergeCell ref="V41:W41"/>
    <mergeCell ref="AM41:AN41"/>
    <mergeCell ref="V37:W37"/>
    <mergeCell ref="AM5:AO5"/>
    <mergeCell ref="A6:K6"/>
    <mergeCell ref="L6:M6"/>
    <mergeCell ref="AM6:AO6"/>
    <mergeCell ref="AP5:AR5"/>
    <mergeCell ref="AS5:AU5"/>
    <mergeCell ref="AP6:AR6"/>
    <mergeCell ref="AS6:AU6"/>
    <mergeCell ref="AF6:AL6"/>
    <mergeCell ref="AF5:AL5"/>
    <mergeCell ref="AC5:AE5"/>
    <mergeCell ref="AC6:AE6"/>
    <mergeCell ref="AB18:AF18"/>
    <mergeCell ref="X17:X18"/>
    <mergeCell ref="AG18:AH18"/>
    <mergeCell ref="A7:AU7"/>
    <mergeCell ref="B8:K8"/>
    <mergeCell ref="Y8:Z8"/>
    <mergeCell ref="AA8:AB8"/>
    <mergeCell ref="AC8:AE8"/>
    <mergeCell ref="Y10:Z10"/>
    <mergeCell ref="AA10:AB10"/>
    <mergeCell ref="AM8:AU8"/>
    <mergeCell ref="B9:K9"/>
    <mergeCell ref="Y9:Z9"/>
    <mergeCell ref="AA9:AB9"/>
    <mergeCell ref="AC9:AE9"/>
    <mergeCell ref="L8:R8"/>
    <mergeCell ref="L11:R11"/>
    <mergeCell ref="L10:R10"/>
    <mergeCell ref="L9:R9"/>
    <mergeCell ref="V8:W8"/>
    <mergeCell ref="V11:W11"/>
    <mergeCell ref="V10:W10"/>
    <mergeCell ref="V9:W9"/>
    <mergeCell ref="AF8:AI8"/>
    <mergeCell ref="AJ8:AL8"/>
    <mergeCell ref="AM14:AU14"/>
    <mergeCell ref="Y17:AF17"/>
    <mergeCell ref="S17:S18"/>
    <mergeCell ref="F17:F18"/>
    <mergeCell ref="B17:E17"/>
    <mergeCell ref="V19:W19"/>
    <mergeCell ref="AO20:AP20"/>
    <mergeCell ref="I17:J18"/>
    <mergeCell ref="AM20:AN20"/>
    <mergeCell ref="R17:R18"/>
    <mergeCell ref="A17:A18"/>
    <mergeCell ref="AQ17:AQ18"/>
    <mergeCell ref="AI15:AI16"/>
    <mergeCell ref="AJ15:AP16"/>
    <mergeCell ref="AQ15:AU16"/>
    <mergeCell ref="Y15:AH16"/>
    <mergeCell ref="K15:S16"/>
    <mergeCell ref="I15:J16"/>
    <mergeCell ref="A15:F16"/>
    <mergeCell ref="V17:W17"/>
    <mergeCell ref="B12:K12"/>
    <mergeCell ref="Y12:Z12"/>
    <mergeCell ref="AA12:AB12"/>
    <mergeCell ref="AC12:AE12"/>
    <mergeCell ref="B13:K13"/>
    <mergeCell ref="Y13:Z13"/>
    <mergeCell ref="AA13:AB13"/>
    <mergeCell ref="AJ17:AJ18"/>
    <mergeCell ref="AI17:AI18"/>
    <mergeCell ref="V13:W13"/>
    <mergeCell ref="V12:W12"/>
    <mergeCell ref="AF13:AI13"/>
    <mergeCell ref="L13:R13"/>
    <mergeCell ref="L12:R12"/>
    <mergeCell ref="Y18:AA18"/>
    <mergeCell ref="T29:U29"/>
    <mergeCell ref="V29:W29"/>
    <mergeCell ref="AO25:AP25"/>
    <mergeCell ref="AM27:AN27"/>
    <mergeCell ref="AO29:AP29"/>
    <mergeCell ref="K27:L27"/>
    <mergeCell ref="M27:N27"/>
    <mergeCell ref="T27:U27"/>
    <mergeCell ref="V27:W27"/>
    <mergeCell ref="AM19:AN19"/>
    <mergeCell ref="AO19:AP19"/>
    <mergeCell ref="T17:U17"/>
    <mergeCell ref="AO27:AP27"/>
    <mergeCell ref="T25:U25"/>
    <mergeCell ref="V25:W25"/>
    <mergeCell ref="AM25:AN25"/>
    <mergeCell ref="Y26:AA26"/>
    <mergeCell ref="Y27:AA27"/>
    <mergeCell ref="Y28:AA28"/>
    <mergeCell ref="V26:W26"/>
    <mergeCell ref="AM26:AN26"/>
    <mergeCell ref="AO26:AP26"/>
    <mergeCell ref="M24:N24"/>
    <mergeCell ref="M26:N26"/>
    <mergeCell ref="M30:N30"/>
    <mergeCell ref="T30:U30"/>
    <mergeCell ref="V30:W30"/>
    <mergeCell ref="T26:U26"/>
    <mergeCell ref="I29:J29"/>
    <mergeCell ref="AM29:AN29"/>
    <mergeCell ref="I31:J31"/>
    <mergeCell ref="K31:L31"/>
    <mergeCell ref="B19:C19"/>
    <mergeCell ref="D19:E19"/>
    <mergeCell ref="T15:W15"/>
    <mergeCell ref="T16:W16"/>
    <mergeCell ref="I22:J22"/>
    <mergeCell ref="K22:L22"/>
    <mergeCell ref="I21:J21"/>
    <mergeCell ref="K21:L21"/>
    <mergeCell ref="M21:N21"/>
    <mergeCell ref="I20:J20"/>
    <mergeCell ref="K20:L20"/>
    <mergeCell ref="M20:N20"/>
    <mergeCell ref="B20:C20"/>
    <mergeCell ref="B21:C21"/>
    <mergeCell ref="B22:C22"/>
    <mergeCell ref="T20:U20"/>
    <mergeCell ref="I19:J19"/>
    <mergeCell ref="K19:L19"/>
    <mergeCell ref="M19:N19"/>
    <mergeCell ref="T19:U19"/>
    <mergeCell ref="T21:U21"/>
    <mergeCell ref="V21:W21"/>
    <mergeCell ref="V20:W20"/>
    <mergeCell ref="AK17:AK18"/>
    <mergeCell ref="AO28:AP28"/>
    <mergeCell ref="B29:C29"/>
    <mergeCell ref="V22:W22"/>
    <mergeCell ref="AM22:AN22"/>
    <mergeCell ref="AO22:AP22"/>
    <mergeCell ref="T22:U22"/>
    <mergeCell ref="T23:U23"/>
    <mergeCell ref="V23:W23"/>
    <mergeCell ref="AM23:AN23"/>
    <mergeCell ref="AO23:AP23"/>
    <mergeCell ref="T24:U24"/>
    <mergeCell ref="V24:W24"/>
    <mergeCell ref="AM24:AN24"/>
    <mergeCell ref="AO24:AP24"/>
    <mergeCell ref="M22:N22"/>
    <mergeCell ref="K23:L23"/>
    <mergeCell ref="M23:N23"/>
    <mergeCell ref="K24:L24"/>
    <mergeCell ref="K29:L29"/>
    <mergeCell ref="M29:N29"/>
    <mergeCell ref="B23:C23"/>
    <mergeCell ref="AR119:AT119"/>
    <mergeCell ref="Y48:AA48"/>
    <mergeCell ref="AB45:AF45"/>
    <mergeCell ref="AB46:AF46"/>
    <mergeCell ref="AB47:AF47"/>
    <mergeCell ref="AB48:AF48"/>
    <mergeCell ref="Y29:AA29"/>
    <mergeCell ref="Y30:AA30"/>
    <mergeCell ref="Y31:AA31"/>
    <mergeCell ref="Y32:AA32"/>
    <mergeCell ref="Y33:AA33"/>
    <mergeCell ref="Y63:AA63"/>
    <mergeCell ref="Y64:AA64"/>
    <mergeCell ref="Y65:AA65"/>
    <mergeCell ref="Y66:AA66"/>
    <mergeCell ref="Y67:AA67"/>
    <mergeCell ref="AO32:AP32"/>
    <mergeCell ref="Y35:AA35"/>
    <mergeCell ref="Y36:AA36"/>
    <mergeCell ref="Y37:AA37"/>
    <mergeCell ref="Y38:AA38"/>
    <mergeCell ref="Y119:AF119"/>
    <mergeCell ref="AM119:AN119"/>
    <mergeCell ref="AO119:AP119"/>
    <mergeCell ref="AO43:AP43"/>
    <mergeCell ref="Y68:AA68"/>
    <mergeCell ref="AO30:AP30"/>
    <mergeCell ref="AM40:AN40"/>
    <mergeCell ref="AO40:AP40"/>
    <mergeCell ref="AM47:AN47"/>
    <mergeCell ref="AR47:AU47"/>
    <mergeCell ref="AR48:AU48"/>
    <mergeCell ref="V33:W33"/>
    <mergeCell ref="AM33:AN33"/>
    <mergeCell ref="AO33:AP33"/>
    <mergeCell ref="T33:U33"/>
    <mergeCell ref="T35:U35"/>
    <mergeCell ref="V35:W35"/>
    <mergeCell ref="AM35:AN35"/>
    <mergeCell ref="AO35:AP35"/>
    <mergeCell ref="I25:J25"/>
    <mergeCell ref="K25:L25"/>
    <mergeCell ref="M25:N25"/>
    <mergeCell ref="AM32:AN32"/>
    <mergeCell ref="D113:E113"/>
    <mergeCell ref="I28:J28"/>
    <mergeCell ref="K28:L28"/>
    <mergeCell ref="M28:N28"/>
    <mergeCell ref="T28:U28"/>
    <mergeCell ref="V28:W28"/>
    <mergeCell ref="AM31:AN31"/>
    <mergeCell ref="AO31:AP31"/>
    <mergeCell ref="D34:E34"/>
    <mergeCell ref="AM36:AN36"/>
    <mergeCell ref="I35:J35"/>
    <mergeCell ref="K35:L35"/>
    <mergeCell ref="M35:N35"/>
    <mergeCell ref="Y34:AA34"/>
    <mergeCell ref="M31:N31"/>
    <mergeCell ref="T32:U32"/>
    <mergeCell ref="V32:W32"/>
    <mergeCell ref="V31:W31"/>
    <mergeCell ref="V36:W36"/>
    <mergeCell ref="T31:U31"/>
    <mergeCell ref="M44:N44"/>
    <mergeCell ref="T44:U44"/>
    <mergeCell ref="V44:W44"/>
    <mergeCell ref="AM44:AN44"/>
    <mergeCell ref="AO44:AP44"/>
    <mergeCell ref="I43:J43"/>
    <mergeCell ref="K43:L43"/>
    <mergeCell ref="M43:N43"/>
    <mergeCell ref="T43:U43"/>
    <mergeCell ref="V43:W43"/>
    <mergeCell ref="AM43:AN43"/>
    <mergeCell ref="Y47:AA47"/>
    <mergeCell ref="AO36:AP36"/>
    <mergeCell ref="AM34:AN34"/>
    <mergeCell ref="I34:J34"/>
    <mergeCell ref="B119:E119"/>
    <mergeCell ref="I119:J119"/>
    <mergeCell ref="K119:L119"/>
    <mergeCell ref="M119:N119"/>
    <mergeCell ref="P119:S119"/>
    <mergeCell ref="T119:U119"/>
    <mergeCell ref="V119:W119"/>
    <mergeCell ref="I40:J40"/>
    <mergeCell ref="K40:L40"/>
    <mergeCell ref="M40:N40"/>
    <mergeCell ref="T40:U40"/>
    <mergeCell ref="V40:W40"/>
    <mergeCell ref="I39:J39"/>
    <mergeCell ref="K39:L39"/>
    <mergeCell ref="M39:N39"/>
    <mergeCell ref="T39:U39"/>
    <mergeCell ref="V39:W39"/>
    <mergeCell ref="K33:L33"/>
    <mergeCell ref="D114:E114"/>
    <mergeCell ref="D115:E115"/>
    <mergeCell ref="D116:E116"/>
    <mergeCell ref="D117:E117"/>
    <mergeCell ref="D118:E118"/>
    <mergeCell ref="B18:C18"/>
    <mergeCell ref="D18:E18"/>
    <mergeCell ref="T18:U18"/>
    <mergeCell ref="B114:C114"/>
    <mergeCell ref="B115:C115"/>
    <mergeCell ref="B116:C116"/>
    <mergeCell ref="B117:C117"/>
    <mergeCell ref="B118:C118"/>
    <mergeCell ref="D20:E20"/>
    <mergeCell ref="D21:E21"/>
    <mergeCell ref="D22:E22"/>
    <mergeCell ref="D23:E23"/>
    <mergeCell ref="D24:E24"/>
    <mergeCell ref="D25:E25"/>
    <mergeCell ref="D26:E26"/>
    <mergeCell ref="D27:E27"/>
    <mergeCell ref="D28:E28"/>
    <mergeCell ref="D29:E29"/>
    <mergeCell ref="D30:E30"/>
    <mergeCell ref="D31:E31"/>
    <mergeCell ref="D32:E32"/>
    <mergeCell ref="B24:C24"/>
    <mergeCell ref="B25:C25"/>
    <mergeCell ref="B45:C45"/>
    <mergeCell ref="B46:C46"/>
    <mergeCell ref="K44:L44"/>
    <mergeCell ref="Y19:AA19"/>
    <mergeCell ref="Y20:AA20"/>
    <mergeCell ref="Y21:AA21"/>
    <mergeCell ref="Y22:AA22"/>
    <mergeCell ref="Y23:AA23"/>
    <mergeCell ref="Y24:AA24"/>
    <mergeCell ref="Y25:AA25"/>
    <mergeCell ref="B43:C43"/>
    <mergeCell ref="B44:C44"/>
    <mergeCell ref="AF12:AI12"/>
    <mergeCell ref="AF11:AI11"/>
    <mergeCell ref="AF10:AI10"/>
    <mergeCell ref="AF9:AI9"/>
    <mergeCell ref="AJ13:AL13"/>
    <mergeCell ref="AJ12:AL12"/>
    <mergeCell ref="AJ11:AL11"/>
    <mergeCell ref="AJ10:AL10"/>
    <mergeCell ref="AJ9:AL9"/>
    <mergeCell ref="K17:L18"/>
    <mergeCell ref="B30:C30"/>
    <mergeCell ref="B31:C31"/>
    <mergeCell ref="B32:C32"/>
    <mergeCell ref="B33:C33"/>
    <mergeCell ref="B34:C34"/>
    <mergeCell ref="B35:C35"/>
    <mergeCell ref="B36:C36"/>
    <mergeCell ref="B37:C37"/>
    <mergeCell ref="B38:C38"/>
    <mergeCell ref="B39:C39"/>
    <mergeCell ref="B40:C40"/>
    <mergeCell ref="B41:C41"/>
    <mergeCell ref="B42:C42"/>
    <mergeCell ref="D33:E33"/>
    <mergeCell ref="B26:C26"/>
    <mergeCell ref="B27:C27"/>
    <mergeCell ref="B28:C28"/>
    <mergeCell ref="D38:E38"/>
    <mergeCell ref="D39:E39"/>
    <mergeCell ref="D40:E40"/>
    <mergeCell ref="D41:E41"/>
    <mergeCell ref="D42:E42"/>
    <mergeCell ref="D43:E43"/>
    <mergeCell ref="D44:E44"/>
    <mergeCell ref="D45:E45"/>
    <mergeCell ref="D46:E46"/>
    <mergeCell ref="AB36:AF36"/>
    <mergeCell ref="AB37:AF37"/>
    <mergeCell ref="AB38:AF38"/>
    <mergeCell ref="AB39:AF39"/>
    <mergeCell ref="AB40:AF40"/>
    <mergeCell ref="AB41:AF41"/>
    <mergeCell ref="AB42:AF42"/>
    <mergeCell ref="AB43:AF43"/>
    <mergeCell ref="AB44:AF44"/>
    <mergeCell ref="D35:E35"/>
    <mergeCell ref="D36:E36"/>
    <mergeCell ref="D37:E37"/>
    <mergeCell ref="I32:J32"/>
    <mergeCell ref="I30:J30"/>
    <mergeCell ref="K32:L32"/>
    <mergeCell ref="M32:N32"/>
    <mergeCell ref="K30:L30"/>
    <mergeCell ref="I44:J44"/>
    <mergeCell ref="I33:J33"/>
    <mergeCell ref="AB63:AF63"/>
    <mergeCell ref="AB64:AF64"/>
    <mergeCell ref="AB65:AF65"/>
    <mergeCell ref="AB81:AF81"/>
    <mergeCell ref="AB82:AF82"/>
    <mergeCell ref="AB83:AF83"/>
    <mergeCell ref="AB84:AF84"/>
    <mergeCell ref="Y71:AA71"/>
    <mergeCell ref="Y72:AA72"/>
    <mergeCell ref="Y73:AA73"/>
    <mergeCell ref="Y74:AA74"/>
    <mergeCell ref="Y75:AA75"/>
    <mergeCell ref="Y76:AA76"/>
    <mergeCell ref="AB71:AF71"/>
    <mergeCell ref="AB72:AF72"/>
    <mergeCell ref="AB73:AF73"/>
    <mergeCell ref="AB74:AF74"/>
    <mergeCell ref="AB75:AF75"/>
    <mergeCell ref="AB76:AF76"/>
    <mergeCell ref="AB77:AF77"/>
    <mergeCell ref="AB78:AF78"/>
    <mergeCell ref="AB69:AF69"/>
    <mergeCell ref="AB70:AF70"/>
    <mergeCell ref="Y79:AA79"/>
    <mergeCell ref="Y80:AA80"/>
    <mergeCell ref="Y83:AA83"/>
    <mergeCell ref="Y84:AA84"/>
    <mergeCell ref="AB79:AF79"/>
    <mergeCell ref="AB80:AF80"/>
    <mergeCell ref="AB19:AF19"/>
    <mergeCell ref="AB20:AF20"/>
    <mergeCell ref="AB21:AF21"/>
    <mergeCell ref="AB22:AF22"/>
    <mergeCell ref="AB23:AF23"/>
    <mergeCell ref="AB24:AF24"/>
    <mergeCell ref="AB25:AF25"/>
    <mergeCell ref="AB26:AF26"/>
    <mergeCell ref="AB27:AF27"/>
    <mergeCell ref="AB28:AF28"/>
    <mergeCell ref="AB29:AF29"/>
    <mergeCell ref="AB30:AF30"/>
    <mergeCell ref="AB31:AF31"/>
    <mergeCell ref="AB32:AF32"/>
    <mergeCell ref="AB33:AF33"/>
    <mergeCell ref="AB34:AF34"/>
    <mergeCell ref="AB35:AF35"/>
    <mergeCell ref="Y107:AA107"/>
    <mergeCell ref="Y108:AA108"/>
    <mergeCell ref="AB103:AF103"/>
    <mergeCell ref="AB104:AF104"/>
    <mergeCell ref="AB105:AF105"/>
    <mergeCell ref="AB106:AF106"/>
    <mergeCell ref="AB107:AF107"/>
    <mergeCell ref="AB108:AF108"/>
    <mergeCell ref="AB110:AF110"/>
    <mergeCell ref="Y88:AA88"/>
    <mergeCell ref="Y89:AA89"/>
    <mergeCell ref="Y90:AA90"/>
    <mergeCell ref="Y91:AA91"/>
    <mergeCell ref="Y92:AA92"/>
    <mergeCell ref="AB87:AF87"/>
    <mergeCell ref="AB88:AF88"/>
    <mergeCell ref="AB89:AF89"/>
    <mergeCell ref="AB90:AF90"/>
    <mergeCell ref="AB91:AF91"/>
    <mergeCell ref="AB92:AF92"/>
    <mergeCell ref="AB93:AF93"/>
    <mergeCell ref="AB94:AF94"/>
    <mergeCell ref="AB101:AF101"/>
    <mergeCell ref="AB102:AF102"/>
    <mergeCell ref="Y95:AA95"/>
    <mergeCell ref="Y96:AA96"/>
    <mergeCell ref="Y97:AA97"/>
    <mergeCell ref="Y98:AA98"/>
    <mergeCell ref="Y99:AA99"/>
    <mergeCell ref="Y100:AA100"/>
    <mergeCell ref="AB95:AF95"/>
    <mergeCell ref="AB96:AF96"/>
  </mergeCells>
  <conditionalFormatting sqref="O6:P6">
    <cfRule type="cellIs" priority="1" operator="notEqual">
      <formula>"Selection Required"</formula>
    </cfRule>
    <cfRule type="cellIs" dxfId="18" priority="2" operator="equal">
      <formula>"Selection Required"</formula>
    </cfRule>
  </conditionalFormatting>
  <dataValidations count="3">
    <dataValidation allowBlank="1" showInputMessage="1" showErrorMessage="1" errorTitle="Error" error="You must select from the drop down list" sqref="Y19:AB118 AG1:AG1048576 AH1:AH17 AH19:AH1048576" xr:uid="{5D036454-D45B-4CA8-9ADA-561DDDA80EDE}"/>
    <dataValidation type="textLength" operator="equal" allowBlank="1" showInputMessage="1" showErrorMessage="1" error="The NPI must be 10 digits in length." sqref="N6 M19:N117" xr:uid="{90F52682-BD8E-4A76-91DE-BC3913CE4A7D}">
      <formula1>10</formula1>
    </dataValidation>
    <dataValidation type="textLength" operator="equal" allowBlank="1" showInputMessage="1" showErrorMessage="1" error="The Tax ID must be 9 digits in length." sqref="L6:M6" xr:uid="{88C3E0A9-2B81-4E16-9110-0FC2225E4C52}">
      <formula1>9</formula1>
    </dataValidation>
  </dataValidations>
  <hyperlinks>
    <hyperlink ref="T16" r:id="rId1" display="http://portal.flmmis.com/FLPublic/Provider_ProviderServices/Provider_ProviderSupport/Provider_ProviderSupport_ClaimNPI/tabId/133/Default.aspx" xr:uid="{00000000-0004-0000-0100-000000000000}"/>
    <hyperlink ref="T18:U18" r:id="rId2" display="Provider Master List" xr:uid="{F5C60989-E635-43BB-90C0-869C71B819B1}"/>
    <hyperlink ref="V18:W18" r:id="rId3" location="headingLv1" display="PECOS" xr:uid="{6F9F8735-04D2-4EDA-B506-E96C96A79EE9}"/>
  </hyperlink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defaultSize="0" autoFill="0" autoLine="0" autoPict="0">
                <anchor moveWithCells="1">
                  <from>
                    <xdr:col>38</xdr:col>
                    <xdr:colOff>219075</xdr:colOff>
                    <xdr:row>8</xdr:row>
                    <xdr:rowOff>19050</xdr:rowOff>
                  </from>
                  <to>
                    <xdr:col>39</xdr:col>
                    <xdr:colOff>438150</xdr:colOff>
                    <xdr:row>9</xdr:row>
                    <xdr:rowOff>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38</xdr:col>
                    <xdr:colOff>219075</xdr:colOff>
                    <xdr:row>8</xdr:row>
                    <xdr:rowOff>419100</xdr:rowOff>
                  </from>
                  <to>
                    <xdr:col>39</xdr:col>
                    <xdr:colOff>438150</xdr:colOff>
                    <xdr:row>10</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38</xdr:col>
                    <xdr:colOff>219075</xdr:colOff>
                    <xdr:row>9</xdr:row>
                    <xdr:rowOff>419100</xdr:rowOff>
                  </from>
                  <to>
                    <xdr:col>39</xdr:col>
                    <xdr:colOff>438150</xdr:colOff>
                    <xdr:row>11</xdr:row>
                    <xdr:rowOff>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38</xdr:col>
                    <xdr:colOff>219075</xdr:colOff>
                    <xdr:row>10</xdr:row>
                    <xdr:rowOff>419100</xdr:rowOff>
                  </from>
                  <to>
                    <xdr:col>39</xdr:col>
                    <xdr:colOff>438150</xdr:colOff>
                    <xdr:row>12</xdr:row>
                    <xdr:rowOff>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38</xdr:col>
                    <xdr:colOff>219075</xdr:colOff>
                    <xdr:row>11</xdr:row>
                    <xdr:rowOff>419100</xdr:rowOff>
                  </from>
                  <to>
                    <xdr:col>39</xdr:col>
                    <xdr:colOff>438150</xdr:colOff>
                    <xdr:row>13</xdr:row>
                    <xdr:rowOff>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38</xdr:col>
                    <xdr:colOff>219075</xdr:colOff>
                    <xdr:row>11</xdr:row>
                    <xdr:rowOff>419100</xdr:rowOff>
                  </from>
                  <to>
                    <xdr:col>39</xdr:col>
                    <xdr:colOff>438150</xdr:colOff>
                    <xdr:row>13</xdr:row>
                    <xdr:rowOff>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43</xdr:col>
                    <xdr:colOff>219075</xdr:colOff>
                    <xdr:row>8</xdr:row>
                    <xdr:rowOff>419100</xdr:rowOff>
                  </from>
                  <to>
                    <xdr:col>44</xdr:col>
                    <xdr:colOff>438150</xdr:colOff>
                    <xdr:row>10</xdr:row>
                    <xdr:rowOff>9525</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43</xdr:col>
                    <xdr:colOff>219075</xdr:colOff>
                    <xdr:row>8</xdr:row>
                    <xdr:rowOff>419100</xdr:rowOff>
                  </from>
                  <to>
                    <xdr:col>44</xdr:col>
                    <xdr:colOff>438150</xdr:colOff>
                    <xdr:row>10</xdr:row>
                    <xdr:rowOff>9525</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43</xdr:col>
                    <xdr:colOff>219075</xdr:colOff>
                    <xdr:row>8</xdr:row>
                    <xdr:rowOff>419100</xdr:rowOff>
                  </from>
                  <to>
                    <xdr:col>44</xdr:col>
                    <xdr:colOff>438150</xdr:colOff>
                    <xdr:row>9</xdr:row>
                    <xdr:rowOff>200025</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43</xdr:col>
                    <xdr:colOff>219075</xdr:colOff>
                    <xdr:row>8</xdr:row>
                    <xdr:rowOff>19050</xdr:rowOff>
                  </from>
                  <to>
                    <xdr:col>44</xdr:col>
                    <xdr:colOff>438150</xdr:colOff>
                    <xdr:row>9</xdr:row>
                    <xdr:rowOff>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43</xdr:col>
                    <xdr:colOff>219075</xdr:colOff>
                    <xdr:row>8</xdr:row>
                    <xdr:rowOff>419100</xdr:rowOff>
                  </from>
                  <to>
                    <xdr:col>44</xdr:col>
                    <xdr:colOff>438150</xdr:colOff>
                    <xdr:row>10</xdr:row>
                    <xdr:rowOff>0</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43</xdr:col>
                    <xdr:colOff>219075</xdr:colOff>
                    <xdr:row>9</xdr:row>
                    <xdr:rowOff>419100</xdr:rowOff>
                  </from>
                  <to>
                    <xdr:col>44</xdr:col>
                    <xdr:colOff>438150</xdr:colOff>
                    <xdr:row>11</xdr:row>
                    <xdr:rowOff>0</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43</xdr:col>
                    <xdr:colOff>219075</xdr:colOff>
                    <xdr:row>10</xdr:row>
                    <xdr:rowOff>419100</xdr:rowOff>
                  </from>
                  <to>
                    <xdr:col>44</xdr:col>
                    <xdr:colOff>438150</xdr:colOff>
                    <xdr:row>12</xdr:row>
                    <xdr:rowOff>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43</xdr:col>
                    <xdr:colOff>219075</xdr:colOff>
                    <xdr:row>11</xdr:row>
                    <xdr:rowOff>419100</xdr:rowOff>
                  </from>
                  <to>
                    <xdr:col>44</xdr:col>
                    <xdr:colOff>438150</xdr:colOff>
                    <xdr:row>13</xdr:row>
                    <xdr:rowOff>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43</xdr:col>
                    <xdr:colOff>219075</xdr:colOff>
                    <xdr:row>11</xdr:row>
                    <xdr:rowOff>419100</xdr:rowOff>
                  </from>
                  <to>
                    <xdr:col>44</xdr:col>
                    <xdr:colOff>438150</xdr:colOff>
                    <xdr:row>13</xdr:row>
                    <xdr:rowOff>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38</xdr:col>
                    <xdr:colOff>219075</xdr:colOff>
                    <xdr:row>11</xdr:row>
                    <xdr:rowOff>419100</xdr:rowOff>
                  </from>
                  <to>
                    <xdr:col>39</xdr:col>
                    <xdr:colOff>438150</xdr:colOff>
                    <xdr:row>13</xdr:row>
                    <xdr:rowOff>0</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38</xdr:col>
                    <xdr:colOff>219075</xdr:colOff>
                    <xdr:row>10</xdr:row>
                    <xdr:rowOff>419100</xdr:rowOff>
                  </from>
                  <to>
                    <xdr:col>39</xdr:col>
                    <xdr:colOff>438150</xdr:colOff>
                    <xdr:row>12</xdr:row>
                    <xdr:rowOff>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38</xdr:col>
                    <xdr:colOff>219075</xdr:colOff>
                    <xdr:row>11</xdr:row>
                    <xdr:rowOff>419100</xdr:rowOff>
                  </from>
                  <to>
                    <xdr:col>39</xdr:col>
                    <xdr:colOff>438150</xdr:colOff>
                    <xdr:row>13</xdr:row>
                    <xdr:rowOff>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38</xdr:col>
                    <xdr:colOff>219075</xdr:colOff>
                    <xdr:row>11</xdr:row>
                    <xdr:rowOff>419100</xdr:rowOff>
                  </from>
                  <to>
                    <xdr:col>39</xdr:col>
                    <xdr:colOff>438150</xdr:colOff>
                    <xdr:row>13</xdr:row>
                    <xdr:rowOff>0</xdr:rowOff>
                  </to>
                </anchor>
              </controlPr>
            </control>
          </mc:Choice>
        </mc:AlternateContent>
        <mc:AlternateContent xmlns:mc="http://schemas.openxmlformats.org/markup-compatibility/2006">
          <mc:Choice Requires="x14">
            <control shapeId="1072" r:id="rId26" name="Check Box 48">
              <controlPr defaultSize="0" autoFill="0" autoLine="0" autoPict="0">
                <anchor moveWithCells="1">
                  <from>
                    <xdr:col>38</xdr:col>
                    <xdr:colOff>219075</xdr:colOff>
                    <xdr:row>11</xdr:row>
                    <xdr:rowOff>419100</xdr:rowOff>
                  </from>
                  <to>
                    <xdr:col>39</xdr:col>
                    <xdr:colOff>438150</xdr:colOff>
                    <xdr:row>13</xdr:row>
                    <xdr:rowOff>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43</xdr:col>
                    <xdr:colOff>219075</xdr:colOff>
                    <xdr:row>11</xdr:row>
                    <xdr:rowOff>419100</xdr:rowOff>
                  </from>
                  <to>
                    <xdr:col>44</xdr:col>
                    <xdr:colOff>447675</xdr:colOff>
                    <xdr:row>13</xdr:row>
                    <xdr:rowOff>9525</xdr:rowOff>
                  </to>
                </anchor>
              </controlPr>
            </control>
          </mc:Choice>
        </mc:AlternateContent>
        <mc:AlternateContent xmlns:mc="http://schemas.openxmlformats.org/markup-compatibility/2006">
          <mc:Choice Requires="x14">
            <control shapeId="1079" r:id="rId28" name="Check Box 55">
              <controlPr defaultSize="0" autoFill="0" autoLine="0" autoPict="0">
                <anchor moveWithCells="1">
                  <from>
                    <xdr:col>43</xdr:col>
                    <xdr:colOff>219075</xdr:colOff>
                    <xdr:row>10</xdr:row>
                    <xdr:rowOff>419100</xdr:rowOff>
                  </from>
                  <to>
                    <xdr:col>44</xdr:col>
                    <xdr:colOff>447675</xdr:colOff>
                    <xdr:row>12</xdr:row>
                    <xdr:rowOff>0</xdr:rowOff>
                  </to>
                </anchor>
              </controlPr>
            </control>
          </mc:Choice>
        </mc:AlternateContent>
        <mc:AlternateContent xmlns:mc="http://schemas.openxmlformats.org/markup-compatibility/2006">
          <mc:Choice Requires="x14">
            <control shapeId="1080" r:id="rId29" name="Check Box 56">
              <controlPr defaultSize="0" autoFill="0" autoLine="0" autoPict="0">
                <anchor moveWithCells="1">
                  <from>
                    <xdr:col>43</xdr:col>
                    <xdr:colOff>219075</xdr:colOff>
                    <xdr:row>11</xdr:row>
                    <xdr:rowOff>419100</xdr:rowOff>
                  </from>
                  <to>
                    <xdr:col>44</xdr:col>
                    <xdr:colOff>447675</xdr:colOff>
                    <xdr:row>13</xdr:row>
                    <xdr:rowOff>9525</xdr:rowOff>
                  </to>
                </anchor>
              </controlPr>
            </control>
          </mc:Choice>
        </mc:AlternateContent>
        <mc:AlternateContent xmlns:mc="http://schemas.openxmlformats.org/markup-compatibility/2006">
          <mc:Choice Requires="x14">
            <control shapeId="1081" r:id="rId30" name="Check Box 57">
              <controlPr defaultSize="0" autoFill="0" autoLine="0" autoPict="0">
                <anchor moveWithCells="1">
                  <from>
                    <xdr:col>43</xdr:col>
                    <xdr:colOff>219075</xdr:colOff>
                    <xdr:row>9</xdr:row>
                    <xdr:rowOff>419100</xdr:rowOff>
                  </from>
                  <to>
                    <xdr:col>44</xdr:col>
                    <xdr:colOff>447675</xdr:colOff>
                    <xdr:row>11</xdr:row>
                    <xdr:rowOff>0</xdr:rowOff>
                  </to>
                </anchor>
              </controlPr>
            </control>
          </mc:Choice>
        </mc:AlternateContent>
        <mc:AlternateContent xmlns:mc="http://schemas.openxmlformats.org/markup-compatibility/2006">
          <mc:Choice Requires="x14">
            <control shapeId="1082" r:id="rId31" name="Check Box 58">
              <controlPr defaultSize="0" autoFill="0" autoLine="0" autoPict="0">
                <anchor moveWithCells="1">
                  <from>
                    <xdr:col>43</xdr:col>
                    <xdr:colOff>219075</xdr:colOff>
                    <xdr:row>9</xdr:row>
                    <xdr:rowOff>419100</xdr:rowOff>
                  </from>
                  <to>
                    <xdr:col>44</xdr:col>
                    <xdr:colOff>447675</xdr:colOff>
                    <xdr:row>11</xdr:row>
                    <xdr:rowOff>0</xdr:rowOff>
                  </to>
                </anchor>
              </controlPr>
            </control>
          </mc:Choice>
        </mc:AlternateContent>
        <mc:AlternateContent xmlns:mc="http://schemas.openxmlformats.org/markup-compatibility/2006">
          <mc:Choice Requires="x14">
            <control shapeId="1083" r:id="rId32" name="Check Box 59">
              <controlPr defaultSize="0" autoFill="0" autoLine="0" autoPict="0">
                <anchor moveWithCells="1">
                  <from>
                    <xdr:col>43</xdr:col>
                    <xdr:colOff>219075</xdr:colOff>
                    <xdr:row>9</xdr:row>
                    <xdr:rowOff>419100</xdr:rowOff>
                  </from>
                  <to>
                    <xdr:col>44</xdr:col>
                    <xdr:colOff>447675</xdr:colOff>
                    <xdr:row>10</xdr:row>
                    <xdr:rowOff>190500</xdr:rowOff>
                  </to>
                </anchor>
              </controlPr>
            </control>
          </mc:Choice>
        </mc:AlternateContent>
        <mc:AlternateContent xmlns:mc="http://schemas.openxmlformats.org/markup-compatibility/2006">
          <mc:Choice Requires="x14">
            <control shapeId="1084" r:id="rId33" name="Check Box 60">
              <controlPr defaultSize="0" autoFill="0" autoLine="0" autoPict="0">
                <anchor moveWithCells="1">
                  <from>
                    <xdr:col>43</xdr:col>
                    <xdr:colOff>219075</xdr:colOff>
                    <xdr:row>9</xdr:row>
                    <xdr:rowOff>419100</xdr:rowOff>
                  </from>
                  <to>
                    <xdr:col>44</xdr:col>
                    <xdr:colOff>447675</xdr:colOff>
                    <xdr:row>11</xdr:row>
                    <xdr:rowOff>0</xdr:rowOff>
                  </to>
                </anchor>
              </controlPr>
            </control>
          </mc:Choice>
        </mc:AlternateContent>
        <mc:AlternateContent xmlns:mc="http://schemas.openxmlformats.org/markup-compatibility/2006">
          <mc:Choice Requires="x14">
            <control shapeId="1085" r:id="rId34" name="Check Box 61">
              <controlPr defaultSize="0" autoFill="0" autoLine="0" autoPict="0">
                <anchor moveWithCells="1">
                  <from>
                    <xdr:col>43</xdr:col>
                    <xdr:colOff>219075</xdr:colOff>
                    <xdr:row>10</xdr:row>
                    <xdr:rowOff>419100</xdr:rowOff>
                  </from>
                  <to>
                    <xdr:col>44</xdr:col>
                    <xdr:colOff>447675</xdr:colOff>
                    <xdr:row>12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errorTitle="Error" error="You must select from the drop down list" xr:uid="{2203CF14-1841-4A4D-8163-789997D60620}">
          <x14:formula1>
            <xm:f>Sheet1!$A$1:$A$3</xm:f>
          </x14:formula1>
          <xm:sqref>X19:X118</xm:sqref>
        </x14:dataValidation>
        <x14:dataValidation type="list" allowBlank="1" showInputMessage="1" showErrorMessage="1" xr:uid="{9569A10E-76DF-4F2F-B83B-BD9F8774365F}">
          <x14:formula1>
            <xm:f>Sheet1!$G$1:$G$3</xm:f>
          </x14:formula1>
          <xm:sqref>P6</xm:sqref>
        </x14:dataValidation>
        <x14:dataValidation type="list" allowBlank="1" showInputMessage="1" showErrorMessage="1" xr:uid="{44889E68-79E4-4C2A-BA90-D9FC1E52C2F5}">
          <x14:formula1>
            <xm:f>Sheet1!$F$1:$F$3</xm:f>
          </x14:formula1>
          <xm:sqref>O6</xm:sqref>
        </x14:dataValidation>
        <x14:dataValidation type="list" allowBlank="1" showInputMessage="1" showErrorMessage="1" xr:uid="{87206EE4-2E6C-473C-9812-9D38115F2320}">
          <x14:formula1>
            <xm:f>Sheet1!$D:$D</xm:f>
          </x14:formula1>
          <xm:sqref>R19:S118</xm:sqref>
        </x14:dataValidation>
        <x14:dataValidation type="list" allowBlank="1" showInputMessage="1" showErrorMessage="1" xr:uid="{083297CA-4543-45EF-903B-D8B46067A9FF}">
          <x14:formula1>
            <xm:f>Sheet1!$H:$H</xm:f>
          </x14:formula1>
          <xm:sqref>V9:W13</xm:sqref>
        </x14:dataValidation>
        <x14:dataValidation type="list" allowBlank="1" showInputMessage="1" showErrorMessage="1" xr:uid="{70DCB524-AFA3-494C-9EBB-70AFFD0DE851}">
          <x14:formula1>
            <xm:f>Sheet1!$I$1:$I$3</xm:f>
          </x14:formula1>
          <xm:sqref>X9:X13</xm:sqref>
        </x14:dataValidation>
        <x14:dataValidation type="list" allowBlank="1" showInputMessage="1" showErrorMessage="1" errorTitle="Error" error="You must select from the drop down list" xr:uid="{2DD7E539-CC81-447E-A786-7259D7F3E30C}">
          <x14:formula1>
            <xm:f>CBH_Taxonomies!$B$2:$B$918</xm:f>
          </x14:formula1>
          <xm:sqref>Y119:AF120</xm:sqref>
        </x14:dataValidation>
        <x14:dataValidation type="list" allowBlank="1" showInputMessage="1" showErrorMessage="1" xr:uid="{405DB71D-2E28-4E4E-918B-DC90D2578C94}">
          <x14:formula1>
            <xm:f>Sheet1!$E$1:$E$53</xm:f>
          </x14:formula1>
          <xm:sqref>AJ19:AJ118</xm:sqref>
        </x14:dataValidation>
        <x14:dataValidation type="list" allowBlank="1" showInputMessage="1" showErrorMessage="1" xr:uid="{A461FB28-BD2D-4ACC-97EF-756D00AA436F}">
          <x14:formula1>
            <xm:f>Sheet1!$C$1:$C$6</xm:f>
          </x14:formula1>
          <xm:sqref>F19:F118</xm:sqref>
        </x14:dataValidation>
        <x14:dataValidation type="list" allowBlank="1" showInputMessage="1" showErrorMessage="1" xr:uid="{4055819A-8EB5-4B42-B835-03E42AF65305}">
          <x14:formula1>
            <xm:f>Sheet1!$B$1:$B$8</xm:f>
          </x14:formula1>
          <xm:sqref>O19:O118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BEA7A-0AD7-4000-9670-9A5CB104C81A}">
  <sheetPr codeName="Sheet5">
    <tabColor rgb="FFFF0000"/>
  </sheetPr>
  <dimension ref="A1:F12"/>
  <sheetViews>
    <sheetView showGridLines="0" zoomScaleNormal="100" workbookViewId="0">
      <selection activeCell="J1" sqref="J1"/>
    </sheetView>
  </sheetViews>
  <sheetFormatPr defaultColWidth="9.140625" defaultRowHeight="15" x14ac:dyDescent="0.25"/>
  <cols>
    <col min="1" max="1" width="19" style="91" customWidth="1"/>
    <col min="2" max="2" width="57.28515625" style="91" customWidth="1"/>
    <col min="3" max="3" width="9.140625" style="90"/>
    <col min="4" max="4" width="32" style="91" customWidth="1"/>
    <col min="5" max="5" width="18.42578125" style="91" customWidth="1"/>
    <col min="6" max="6" width="23.5703125" style="91" customWidth="1"/>
    <col min="7" max="16384" width="9.140625" style="90"/>
  </cols>
  <sheetData>
    <row r="1" spans="1:6" ht="53.45" customHeight="1" x14ac:dyDescent="0.25">
      <c r="A1" s="222" t="s">
        <v>91</v>
      </c>
      <c r="B1" s="222"/>
    </row>
    <row r="2" spans="1:6" ht="242.25" x14ac:dyDescent="0.25">
      <c r="A2" s="92" t="s">
        <v>92</v>
      </c>
      <c r="B2" s="93" t="s">
        <v>93</v>
      </c>
      <c r="D2" s="94" t="s">
        <v>94</v>
      </c>
      <c r="E2" s="95"/>
      <c r="F2" s="98" t="str">
        <f>IFERROR(VLOOKUP(E2, Sheet4!A:C, 3, 0), "")</f>
        <v/>
      </c>
    </row>
    <row r="3" spans="1:6" ht="38.25" x14ac:dyDescent="0.25">
      <c r="A3" s="92" t="s">
        <v>95</v>
      </c>
      <c r="B3" s="93" t="s">
        <v>96</v>
      </c>
      <c r="D3" s="223" t="str">
        <f>IFERROR(VLOOKUP(E2, Sheet4!A:C, 2, 0), "")</f>
        <v/>
      </c>
      <c r="E3" s="224"/>
      <c r="F3" s="225"/>
    </row>
    <row r="4" spans="1:6" ht="25.5" x14ac:dyDescent="0.25">
      <c r="A4" s="92" t="s">
        <v>97</v>
      </c>
      <c r="B4" s="92" t="s">
        <v>98</v>
      </c>
    </row>
    <row r="5" spans="1:6" ht="39" customHeight="1" x14ac:dyDescent="0.25">
      <c r="A5" s="92" t="s">
        <v>99</v>
      </c>
      <c r="B5" s="96" t="s">
        <v>100</v>
      </c>
    </row>
    <row r="6" spans="1:6" ht="51" x14ac:dyDescent="0.25">
      <c r="A6" s="92" t="s">
        <v>101</v>
      </c>
      <c r="B6" s="93" t="s">
        <v>102</v>
      </c>
    </row>
    <row r="7" spans="1:6" ht="51" x14ac:dyDescent="0.25">
      <c r="A7" s="92" t="s">
        <v>103</v>
      </c>
      <c r="B7" s="97" t="s">
        <v>104</v>
      </c>
    </row>
    <row r="8" spans="1:6" ht="102" x14ac:dyDescent="0.25">
      <c r="A8" s="92" t="s">
        <v>105</v>
      </c>
      <c r="B8" s="92" t="s">
        <v>106</v>
      </c>
    </row>
    <row r="9" spans="1:6" ht="76.5" x14ac:dyDescent="0.25">
      <c r="A9" s="92" t="s">
        <v>107</v>
      </c>
      <c r="B9" s="92" t="s">
        <v>108</v>
      </c>
    </row>
    <row r="10" spans="1:6" ht="25.5" x14ac:dyDescent="0.25">
      <c r="A10" s="92" t="s">
        <v>109</v>
      </c>
      <c r="B10" s="93" t="s">
        <v>110</v>
      </c>
    </row>
    <row r="11" spans="1:6" ht="38.25" x14ac:dyDescent="0.25">
      <c r="A11" s="92" t="s">
        <v>111</v>
      </c>
      <c r="B11" s="93" t="s">
        <v>112</v>
      </c>
    </row>
    <row r="12" spans="1:6" x14ac:dyDescent="0.25">
      <c r="A12" s="92" t="s">
        <v>113</v>
      </c>
      <c r="B12" s="93" t="s">
        <v>114</v>
      </c>
    </row>
  </sheetData>
  <sheetProtection sheet="1" objects="1" scenarios="1" selectLockedCells="1"/>
  <sortState xmlns:xlrd2="http://schemas.microsoft.com/office/spreadsheetml/2017/richdata2" ref="A3:B12">
    <sortCondition ref="A2:A12"/>
  </sortState>
  <mergeCells count="2">
    <mergeCell ref="A1:B1"/>
    <mergeCell ref="D3: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91AB-D7B9-44B3-8427-C02FA45D6198}">
  <sheetPr codeName="Sheet6"/>
  <dimension ref="A1:C7799"/>
  <sheetViews>
    <sheetView topLeftCell="A721" workbookViewId="0">
      <selection activeCell="A723" sqref="A723"/>
    </sheetView>
  </sheetViews>
  <sheetFormatPr defaultRowHeight="15" customHeight="1" x14ac:dyDescent="0.25"/>
  <cols>
    <col min="1" max="1" width="26.7109375" style="85" customWidth="1"/>
    <col min="2" max="2" width="83.140625" bestFit="1" customWidth="1"/>
    <col min="3" max="3" width="29.28515625" bestFit="1" customWidth="1"/>
  </cols>
  <sheetData>
    <row r="1" spans="1:3" ht="15" customHeight="1" x14ac:dyDescent="0.25">
      <c r="A1" s="86" t="s">
        <v>115</v>
      </c>
      <c r="B1" s="86" t="s">
        <v>116</v>
      </c>
      <c r="C1" s="86" t="s">
        <v>117</v>
      </c>
    </row>
    <row r="2" spans="1:3" ht="15" customHeight="1" x14ac:dyDescent="0.25">
      <c r="A2" s="87" t="s">
        <v>118</v>
      </c>
      <c r="B2" s="87" t="s">
        <v>119</v>
      </c>
      <c r="C2" s="87" t="s">
        <v>120</v>
      </c>
    </row>
    <row r="3" spans="1:3" ht="15" customHeight="1" x14ac:dyDescent="0.25">
      <c r="A3" s="87" t="s">
        <v>121</v>
      </c>
      <c r="B3" s="87" t="s">
        <v>122</v>
      </c>
      <c r="C3" s="87" t="s">
        <v>120</v>
      </c>
    </row>
    <row r="4" spans="1:3" ht="15" customHeight="1" x14ac:dyDescent="0.25">
      <c r="A4" s="87" t="s">
        <v>123</v>
      </c>
      <c r="B4" s="87" t="s">
        <v>124</v>
      </c>
      <c r="C4" s="87" t="s">
        <v>120</v>
      </c>
    </row>
    <row r="5" spans="1:3" ht="15" customHeight="1" x14ac:dyDescent="0.25">
      <c r="A5" s="87" t="s">
        <v>125</v>
      </c>
      <c r="B5" s="87" t="s">
        <v>126</v>
      </c>
      <c r="C5" s="87" t="s">
        <v>120</v>
      </c>
    </row>
    <row r="6" spans="1:3" ht="15" customHeight="1" x14ac:dyDescent="0.25">
      <c r="A6" s="87" t="s">
        <v>127</v>
      </c>
      <c r="B6" s="87" t="s">
        <v>128</v>
      </c>
      <c r="C6" s="87" t="s">
        <v>120</v>
      </c>
    </row>
    <row r="7" spans="1:3" ht="15" customHeight="1" x14ac:dyDescent="0.25">
      <c r="A7" s="87" t="s">
        <v>129</v>
      </c>
      <c r="B7" s="87" t="s">
        <v>130</v>
      </c>
      <c r="C7" s="87" t="s">
        <v>120</v>
      </c>
    </row>
    <row r="8" spans="1:3" ht="15" customHeight="1" x14ac:dyDescent="0.25">
      <c r="A8" s="87" t="s">
        <v>131</v>
      </c>
      <c r="B8" s="87" t="s">
        <v>132</v>
      </c>
      <c r="C8" s="87" t="s">
        <v>120</v>
      </c>
    </row>
    <row r="9" spans="1:3" ht="15" customHeight="1" x14ac:dyDescent="0.25">
      <c r="A9" s="87" t="s">
        <v>133</v>
      </c>
      <c r="B9" s="87" t="s">
        <v>134</v>
      </c>
      <c r="C9" s="87" t="s">
        <v>120</v>
      </c>
    </row>
    <row r="10" spans="1:3" ht="15" customHeight="1" x14ac:dyDescent="0.25">
      <c r="A10" s="87" t="s">
        <v>135</v>
      </c>
      <c r="B10" s="87" t="s">
        <v>136</v>
      </c>
      <c r="C10" s="87" t="s">
        <v>137</v>
      </c>
    </row>
    <row r="11" spans="1:3" ht="15" customHeight="1" x14ac:dyDescent="0.25">
      <c r="A11" s="87" t="s">
        <v>138</v>
      </c>
      <c r="B11" s="87" t="s">
        <v>139</v>
      </c>
      <c r="C11" s="87" t="s">
        <v>120</v>
      </c>
    </row>
    <row r="12" spans="1:3" ht="15" customHeight="1" x14ac:dyDescent="0.25">
      <c r="A12" s="87" t="s">
        <v>140</v>
      </c>
      <c r="B12" s="87" t="s">
        <v>141</v>
      </c>
      <c r="C12" s="87" t="s">
        <v>120</v>
      </c>
    </row>
    <row r="13" spans="1:3" ht="15" customHeight="1" x14ac:dyDescent="0.25">
      <c r="A13" s="87" t="s">
        <v>142</v>
      </c>
      <c r="B13" s="87" t="s">
        <v>143</v>
      </c>
      <c r="C13" s="87" t="s">
        <v>120</v>
      </c>
    </row>
    <row r="14" spans="1:3" ht="15" customHeight="1" x14ac:dyDescent="0.25">
      <c r="A14" s="87" t="s">
        <v>144</v>
      </c>
      <c r="B14" s="87" t="s">
        <v>145</v>
      </c>
      <c r="C14" s="87" t="s">
        <v>120</v>
      </c>
    </row>
    <row r="15" spans="1:3" ht="15" customHeight="1" x14ac:dyDescent="0.25">
      <c r="A15" s="87" t="s">
        <v>146</v>
      </c>
      <c r="B15" s="87" t="s">
        <v>147</v>
      </c>
      <c r="C15" s="87" t="s">
        <v>120</v>
      </c>
    </row>
    <row r="16" spans="1:3" ht="15" customHeight="1" x14ac:dyDescent="0.25">
      <c r="A16" s="87" t="s">
        <v>148</v>
      </c>
      <c r="B16" s="87" t="s">
        <v>149</v>
      </c>
      <c r="C16" s="87" t="s">
        <v>120</v>
      </c>
    </row>
    <row r="17" spans="1:3" ht="15" customHeight="1" x14ac:dyDescent="0.25">
      <c r="A17" s="87" t="s">
        <v>150</v>
      </c>
      <c r="B17" s="87" t="s">
        <v>151</v>
      </c>
      <c r="C17" s="87" t="s">
        <v>120</v>
      </c>
    </row>
    <row r="18" spans="1:3" ht="15" customHeight="1" x14ac:dyDescent="0.25">
      <c r="A18" s="87" t="s">
        <v>152</v>
      </c>
      <c r="B18" s="87" t="s">
        <v>153</v>
      </c>
      <c r="C18" s="87" t="s">
        <v>120</v>
      </c>
    </row>
    <row r="19" spans="1:3" ht="15" customHeight="1" x14ac:dyDescent="0.25">
      <c r="A19" s="87" t="s">
        <v>154</v>
      </c>
      <c r="B19" s="87" t="s">
        <v>155</v>
      </c>
      <c r="C19" s="87" t="s">
        <v>120</v>
      </c>
    </row>
    <row r="20" spans="1:3" ht="15" customHeight="1" x14ac:dyDescent="0.25">
      <c r="A20" s="87" t="s">
        <v>156</v>
      </c>
      <c r="B20" s="87" t="s">
        <v>157</v>
      </c>
      <c r="C20" s="87" t="s">
        <v>120</v>
      </c>
    </row>
    <row r="21" spans="1:3" ht="15" customHeight="1" x14ac:dyDescent="0.25">
      <c r="A21" s="87" t="s">
        <v>158</v>
      </c>
      <c r="B21" s="87" t="s">
        <v>159</v>
      </c>
      <c r="C21" s="87" t="s">
        <v>120</v>
      </c>
    </row>
    <row r="22" spans="1:3" ht="15" customHeight="1" x14ac:dyDescent="0.25">
      <c r="A22" s="87" t="s">
        <v>160</v>
      </c>
      <c r="B22" s="87" t="s">
        <v>161</v>
      </c>
      <c r="C22" s="87" t="s">
        <v>120</v>
      </c>
    </row>
    <row r="23" spans="1:3" ht="15" customHeight="1" x14ac:dyDescent="0.25">
      <c r="A23" s="87" t="s">
        <v>162</v>
      </c>
      <c r="B23" s="87" t="s">
        <v>163</v>
      </c>
      <c r="C23" s="87" t="s">
        <v>120</v>
      </c>
    </row>
    <row r="24" spans="1:3" ht="15" customHeight="1" x14ac:dyDescent="0.25">
      <c r="A24" s="87" t="s">
        <v>164</v>
      </c>
      <c r="B24" s="87" t="s">
        <v>165</v>
      </c>
      <c r="C24" s="87" t="s">
        <v>120</v>
      </c>
    </row>
    <row r="25" spans="1:3" ht="15" customHeight="1" x14ac:dyDescent="0.25">
      <c r="A25" s="87" t="s">
        <v>166</v>
      </c>
      <c r="B25" s="87" t="s">
        <v>167</v>
      </c>
      <c r="C25" s="87" t="s">
        <v>120</v>
      </c>
    </row>
    <row r="26" spans="1:3" ht="15" customHeight="1" x14ac:dyDescent="0.25">
      <c r="A26" s="87" t="s">
        <v>168</v>
      </c>
      <c r="B26" s="87" t="s">
        <v>169</v>
      </c>
      <c r="C26" s="87" t="s">
        <v>120</v>
      </c>
    </row>
    <row r="27" spans="1:3" ht="15" customHeight="1" x14ac:dyDescent="0.25">
      <c r="A27" s="87" t="s">
        <v>170</v>
      </c>
      <c r="B27" s="87" t="s">
        <v>171</v>
      </c>
      <c r="C27" s="87" t="s">
        <v>120</v>
      </c>
    </row>
    <row r="28" spans="1:3" ht="15" customHeight="1" x14ac:dyDescent="0.25">
      <c r="A28" s="87" t="s">
        <v>172</v>
      </c>
      <c r="B28" s="87" t="s">
        <v>173</v>
      </c>
      <c r="C28" s="87" t="s">
        <v>120</v>
      </c>
    </row>
    <row r="29" spans="1:3" ht="15" customHeight="1" x14ac:dyDescent="0.25">
      <c r="A29" s="87" t="s">
        <v>174</v>
      </c>
      <c r="B29" s="87" t="s">
        <v>175</v>
      </c>
      <c r="C29" s="87" t="s">
        <v>120</v>
      </c>
    </row>
    <row r="30" spans="1:3" ht="15" customHeight="1" x14ac:dyDescent="0.25">
      <c r="A30" s="87" t="s">
        <v>176</v>
      </c>
      <c r="B30" s="87" t="s">
        <v>177</v>
      </c>
      <c r="C30" s="87" t="s">
        <v>120</v>
      </c>
    </row>
    <row r="31" spans="1:3" ht="15" customHeight="1" x14ac:dyDescent="0.25">
      <c r="A31" s="87" t="s">
        <v>178</v>
      </c>
      <c r="B31" s="87" t="s">
        <v>179</v>
      </c>
      <c r="C31" s="87" t="s">
        <v>120</v>
      </c>
    </row>
    <row r="32" spans="1:3" ht="15" customHeight="1" x14ac:dyDescent="0.25">
      <c r="A32" s="87" t="s">
        <v>180</v>
      </c>
      <c r="B32" s="87" t="s">
        <v>181</v>
      </c>
      <c r="C32" s="87" t="s">
        <v>120</v>
      </c>
    </row>
    <row r="33" spans="1:3" ht="15" customHeight="1" x14ac:dyDescent="0.25">
      <c r="A33" s="87" t="s">
        <v>182</v>
      </c>
      <c r="B33" s="87" t="s">
        <v>183</v>
      </c>
      <c r="C33" s="87" t="s">
        <v>120</v>
      </c>
    </row>
    <row r="34" spans="1:3" ht="15" customHeight="1" x14ac:dyDescent="0.25">
      <c r="A34" s="87" t="s">
        <v>184</v>
      </c>
      <c r="B34" s="87" t="s">
        <v>185</v>
      </c>
      <c r="C34" s="87" t="s">
        <v>120</v>
      </c>
    </row>
    <row r="35" spans="1:3" ht="15" customHeight="1" x14ac:dyDescent="0.25">
      <c r="A35" s="87" t="s">
        <v>186</v>
      </c>
      <c r="B35" s="87" t="s">
        <v>187</v>
      </c>
      <c r="C35" s="87" t="s">
        <v>120</v>
      </c>
    </row>
    <row r="36" spans="1:3" ht="15" customHeight="1" x14ac:dyDescent="0.25">
      <c r="A36" s="87" t="s">
        <v>188</v>
      </c>
      <c r="B36" s="87" t="s">
        <v>189</v>
      </c>
      <c r="C36" s="87" t="s">
        <v>120</v>
      </c>
    </row>
    <row r="37" spans="1:3" ht="15" customHeight="1" x14ac:dyDescent="0.25">
      <c r="A37" s="87" t="s">
        <v>190</v>
      </c>
      <c r="B37" s="87" t="s">
        <v>191</v>
      </c>
      <c r="C37" s="87" t="s">
        <v>120</v>
      </c>
    </row>
    <row r="38" spans="1:3" ht="15" customHeight="1" x14ac:dyDescent="0.25">
      <c r="A38" s="87" t="s">
        <v>192</v>
      </c>
      <c r="B38" s="87" t="s">
        <v>193</v>
      </c>
      <c r="C38" s="87" t="s">
        <v>120</v>
      </c>
    </row>
    <row r="39" spans="1:3" ht="15" customHeight="1" x14ac:dyDescent="0.25">
      <c r="A39" s="87" t="s">
        <v>194</v>
      </c>
      <c r="B39" s="87" t="s">
        <v>195</v>
      </c>
      <c r="C39" s="87" t="s">
        <v>120</v>
      </c>
    </row>
    <row r="40" spans="1:3" ht="15" customHeight="1" x14ac:dyDescent="0.25">
      <c r="A40" s="87" t="s">
        <v>196</v>
      </c>
      <c r="B40" s="87" t="s">
        <v>197</v>
      </c>
      <c r="C40" s="87" t="s">
        <v>120</v>
      </c>
    </row>
    <row r="41" spans="1:3" ht="15" customHeight="1" x14ac:dyDescent="0.25">
      <c r="A41" s="87" t="s">
        <v>198</v>
      </c>
      <c r="B41" s="87" t="s">
        <v>199</v>
      </c>
      <c r="C41" s="87" t="s">
        <v>137</v>
      </c>
    </row>
    <row r="42" spans="1:3" ht="15" customHeight="1" x14ac:dyDescent="0.25">
      <c r="A42" s="87" t="s">
        <v>200</v>
      </c>
      <c r="B42" s="87" t="s">
        <v>201</v>
      </c>
      <c r="C42" s="87" t="s">
        <v>120</v>
      </c>
    </row>
    <row r="43" spans="1:3" ht="15" customHeight="1" x14ac:dyDescent="0.25">
      <c r="A43" s="87" t="s">
        <v>202</v>
      </c>
      <c r="B43" s="87" t="s">
        <v>203</v>
      </c>
      <c r="C43" s="87" t="s">
        <v>120</v>
      </c>
    </row>
    <row r="44" spans="1:3" ht="15" customHeight="1" x14ac:dyDescent="0.25">
      <c r="A44" s="87" t="s">
        <v>204</v>
      </c>
      <c r="B44" s="87" t="s">
        <v>205</v>
      </c>
      <c r="C44" s="87" t="s">
        <v>120</v>
      </c>
    </row>
    <row r="45" spans="1:3" ht="15" customHeight="1" x14ac:dyDescent="0.25">
      <c r="A45" s="87" t="s">
        <v>206</v>
      </c>
      <c r="B45" s="87" t="s">
        <v>207</v>
      </c>
      <c r="C45" s="87" t="s">
        <v>120</v>
      </c>
    </row>
    <row r="46" spans="1:3" ht="15" customHeight="1" x14ac:dyDescent="0.25">
      <c r="A46" s="87" t="s">
        <v>208</v>
      </c>
      <c r="B46" s="87" t="s">
        <v>209</v>
      </c>
      <c r="C46" s="87" t="s">
        <v>120</v>
      </c>
    </row>
    <row r="47" spans="1:3" ht="15" customHeight="1" x14ac:dyDescent="0.25">
      <c r="A47" s="87" t="s">
        <v>210</v>
      </c>
      <c r="B47" s="87" t="s">
        <v>211</v>
      </c>
      <c r="C47" s="87" t="s">
        <v>120</v>
      </c>
    </row>
    <row r="48" spans="1:3" ht="15" customHeight="1" x14ac:dyDescent="0.25">
      <c r="A48" s="87" t="s">
        <v>212</v>
      </c>
      <c r="B48" s="87" t="s">
        <v>213</v>
      </c>
      <c r="C48" s="87" t="s">
        <v>120</v>
      </c>
    </row>
    <row r="49" spans="1:3" ht="15" customHeight="1" x14ac:dyDescent="0.25">
      <c r="A49" s="87" t="s">
        <v>214</v>
      </c>
      <c r="B49" s="87" t="s">
        <v>215</v>
      </c>
      <c r="C49" s="87" t="s">
        <v>120</v>
      </c>
    </row>
    <row r="50" spans="1:3" ht="15" customHeight="1" x14ac:dyDescent="0.25">
      <c r="A50" s="87" t="s">
        <v>216</v>
      </c>
      <c r="B50" s="87" t="s">
        <v>217</v>
      </c>
      <c r="C50" s="87" t="s">
        <v>120</v>
      </c>
    </row>
    <row r="51" spans="1:3" ht="15" customHeight="1" x14ac:dyDescent="0.25">
      <c r="A51" s="87" t="s">
        <v>218</v>
      </c>
      <c r="B51" s="87" t="s">
        <v>219</v>
      </c>
      <c r="C51" s="87" t="s">
        <v>120</v>
      </c>
    </row>
    <row r="52" spans="1:3" ht="15" customHeight="1" x14ac:dyDescent="0.25">
      <c r="A52" s="87" t="s">
        <v>220</v>
      </c>
      <c r="B52" s="87" t="s">
        <v>221</v>
      </c>
      <c r="C52" s="87" t="s">
        <v>120</v>
      </c>
    </row>
    <row r="53" spans="1:3" ht="15" customHeight="1" x14ac:dyDescent="0.25">
      <c r="A53" s="87" t="s">
        <v>222</v>
      </c>
      <c r="B53" s="87" t="s">
        <v>223</v>
      </c>
      <c r="C53" s="87" t="s">
        <v>120</v>
      </c>
    </row>
    <row r="54" spans="1:3" ht="15" customHeight="1" x14ac:dyDescent="0.25">
      <c r="A54" s="87" t="s">
        <v>224</v>
      </c>
      <c r="B54" s="87" t="s">
        <v>225</v>
      </c>
      <c r="C54" s="87" t="s">
        <v>120</v>
      </c>
    </row>
    <row r="55" spans="1:3" ht="15" customHeight="1" x14ac:dyDescent="0.25">
      <c r="A55" s="87" t="s">
        <v>226</v>
      </c>
      <c r="B55" s="87" t="s">
        <v>227</v>
      </c>
      <c r="C55" s="87" t="s">
        <v>120</v>
      </c>
    </row>
    <row r="56" spans="1:3" ht="15" customHeight="1" x14ac:dyDescent="0.25">
      <c r="A56" s="87" t="s">
        <v>228</v>
      </c>
      <c r="B56" s="87" t="s">
        <v>229</v>
      </c>
      <c r="C56" s="87" t="s">
        <v>230</v>
      </c>
    </row>
    <row r="57" spans="1:3" ht="15" customHeight="1" x14ac:dyDescent="0.25">
      <c r="A57" s="87" t="s">
        <v>231</v>
      </c>
      <c r="B57" s="87" t="s">
        <v>232</v>
      </c>
      <c r="C57" s="87" t="s">
        <v>120</v>
      </c>
    </row>
    <row r="58" spans="1:3" ht="15" customHeight="1" x14ac:dyDescent="0.25">
      <c r="A58" s="87" t="s">
        <v>233</v>
      </c>
      <c r="B58" s="87" t="s">
        <v>234</v>
      </c>
      <c r="C58" s="87" t="s">
        <v>120</v>
      </c>
    </row>
    <row r="59" spans="1:3" ht="15" customHeight="1" x14ac:dyDescent="0.25">
      <c r="A59" s="87" t="s">
        <v>235</v>
      </c>
      <c r="B59" s="87" t="s">
        <v>236</v>
      </c>
      <c r="C59" s="87" t="s">
        <v>120</v>
      </c>
    </row>
    <row r="60" spans="1:3" ht="15" customHeight="1" x14ac:dyDescent="0.25">
      <c r="A60" s="87" t="s">
        <v>237</v>
      </c>
      <c r="B60" s="87" t="s">
        <v>238</v>
      </c>
      <c r="C60" s="87" t="s">
        <v>120</v>
      </c>
    </row>
    <row r="61" spans="1:3" ht="15" customHeight="1" x14ac:dyDescent="0.25">
      <c r="A61" s="87" t="s">
        <v>239</v>
      </c>
      <c r="B61" s="87" t="s">
        <v>240</v>
      </c>
      <c r="C61" s="87" t="s">
        <v>120</v>
      </c>
    </row>
    <row r="62" spans="1:3" ht="15" customHeight="1" x14ac:dyDescent="0.25">
      <c r="A62" s="87" t="s">
        <v>241</v>
      </c>
      <c r="B62" s="87" t="s">
        <v>242</v>
      </c>
      <c r="C62" s="87" t="s">
        <v>120</v>
      </c>
    </row>
    <row r="63" spans="1:3" ht="15" customHeight="1" x14ac:dyDescent="0.25">
      <c r="A63" s="87" t="s">
        <v>243</v>
      </c>
      <c r="B63" s="87" t="s">
        <v>244</v>
      </c>
      <c r="C63" s="87" t="s">
        <v>120</v>
      </c>
    </row>
    <row r="64" spans="1:3" ht="15" customHeight="1" x14ac:dyDescent="0.25">
      <c r="A64" s="87" t="s">
        <v>245</v>
      </c>
      <c r="B64" s="87" t="s">
        <v>246</v>
      </c>
      <c r="C64" s="87" t="s">
        <v>120</v>
      </c>
    </row>
    <row r="65" spans="1:3" ht="15" customHeight="1" x14ac:dyDescent="0.25">
      <c r="A65" s="87" t="s">
        <v>247</v>
      </c>
      <c r="B65" s="87" t="s">
        <v>248</v>
      </c>
      <c r="C65" s="87" t="s">
        <v>120</v>
      </c>
    </row>
    <row r="66" spans="1:3" ht="15" customHeight="1" x14ac:dyDescent="0.25">
      <c r="A66" s="87" t="s">
        <v>249</v>
      </c>
      <c r="B66" s="87" t="s">
        <v>250</v>
      </c>
      <c r="C66" s="87" t="s">
        <v>120</v>
      </c>
    </row>
    <row r="67" spans="1:3" ht="15" customHeight="1" x14ac:dyDescent="0.25">
      <c r="A67" s="87" t="s">
        <v>251</v>
      </c>
      <c r="B67" s="87" t="s">
        <v>252</v>
      </c>
      <c r="C67" s="87" t="s">
        <v>230</v>
      </c>
    </row>
    <row r="68" spans="1:3" ht="15" customHeight="1" x14ac:dyDescent="0.25">
      <c r="A68" s="87" t="s">
        <v>253</v>
      </c>
      <c r="B68" s="87" t="s">
        <v>254</v>
      </c>
      <c r="C68" s="87" t="s">
        <v>230</v>
      </c>
    </row>
    <row r="69" spans="1:3" ht="15" customHeight="1" x14ac:dyDescent="0.25">
      <c r="A69" s="87" t="s">
        <v>255</v>
      </c>
      <c r="B69" s="87" t="s">
        <v>256</v>
      </c>
      <c r="C69" s="87" t="s">
        <v>230</v>
      </c>
    </row>
    <row r="70" spans="1:3" ht="15" customHeight="1" x14ac:dyDescent="0.25">
      <c r="A70" s="87" t="s">
        <v>257</v>
      </c>
      <c r="B70" s="87" t="s">
        <v>258</v>
      </c>
      <c r="C70" s="87" t="s">
        <v>230</v>
      </c>
    </row>
    <row r="71" spans="1:3" ht="15" customHeight="1" x14ac:dyDescent="0.25">
      <c r="A71" s="87" t="s">
        <v>259</v>
      </c>
      <c r="B71" s="87" t="s">
        <v>260</v>
      </c>
      <c r="C71" s="87" t="s">
        <v>137</v>
      </c>
    </row>
    <row r="72" spans="1:3" ht="15" customHeight="1" x14ac:dyDescent="0.25">
      <c r="A72" s="87" t="s">
        <v>261</v>
      </c>
      <c r="B72" s="87" t="s">
        <v>262</v>
      </c>
      <c r="C72" s="87" t="s">
        <v>230</v>
      </c>
    </row>
    <row r="73" spans="1:3" ht="15" customHeight="1" x14ac:dyDescent="0.25">
      <c r="A73" s="87" t="s">
        <v>263</v>
      </c>
      <c r="B73" s="87" t="s">
        <v>264</v>
      </c>
      <c r="C73" s="87" t="s">
        <v>230</v>
      </c>
    </row>
    <row r="74" spans="1:3" ht="15" customHeight="1" x14ac:dyDescent="0.25">
      <c r="A74" s="87" t="s">
        <v>265</v>
      </c>
      <c r="B74" s="87" t="s">
        <v>266</v>
      </c>
      <c r="C74" s="87" t="s">
        <v>137</v>
      </c>
    </row>
    <row r="75" spans="1:3" ht="15" customHeight="1" x14ac:dyDescent="0.25">
      <c r="A75" s="87" t="s">
        <v>267</v>
      </c>
      <c r="B75" s="87" t="s">
        <v>268</v>
      </c>
      <c r="C75" s="87" t="s">
        <v>120</v>
      </c>
    </row>
    <row r="76" spans="1:3" ht="15" customHeight="1" x14ac:dyDescent="0.25">
      <c r="A76" s="87" t="s">
        <v>269</v>
      </c>
      <c r="B76" s="87" t="s">
        <v>270</v>
      </c>
      <c r="C76" s="87" t="s">
        <v>137</v>
      </c>
    </row>
    <row r="77" spans="1:3" ht="15" customHeight="1" x14ac:dyDescent="0.25">
      <c r="A77" s="87" t="s">
        <v>271</v>
      </c>
      <c r="B77" s="87" t="s">
        <v>272</v>
      </c>
      <c r="C77" s="87" t="s">
        <v>120</v>
      </c>
    </row>
    <row r="78" spans="1:3" ht="15" customHeight="1" x14ac:dyDescent="0.25">
      <c r="A78" s="87" t="s">
        <v>273</v>
      </c>
      <c r="B78" s="87" t="s">
        <v>274</v>
      </c>
      <c r="C78" s="87" t="s">
        <v>120</v>
      </c>
    </row>
    <row r="79" spans="1:3" ht="15" customHeight="1" x14ac:dyDescent="0.25">
      <c r="A79" s="87" t="s">
        <v>275</v>
      </c>
      <c r="B79" s="87" t="s">
        <v>276</v>
      </c>
      <c r="C79" s="87" t="s">
        <v>120</v>
      </c>
    </row>
    <row r="80" spans="1:3" ht="15" customHeight="1" x14ac:dyDescent="0.25">
      <c r="A80" s="87" t="s">
        <v>277</v>
      </c>
      <c r="B80" s="87" t="s">
        <v>278</v>
      </c>
      <c r="C80" s="87" t="s">
        <v>120</v>
      </c>
    </row>
    <row r="81" spans="1:3" ht="15" customHeight="1" x14ac:dyDescent="0.25">
      <c r="A81" s="87" t="s">
        <v>279</v>
      </c>
      <c r="B81" s="87" t="s">
        <v>280</v>
      </c>
      <c r="C81" s="87" t="s">
        <v>120</v>
      </c>
    </row>
    <row r="82" spans="1:3" ht="15" customHeight="1" x14ac:dyDescent="0.25">
      <c r="A82" s="87" t="s">
        <v>281</v>
      </c>
      <c r="B82" s="87" t="s">
        <v>282</v>
      </c>
      <c r="C82" s="87" t="s">
        <v>120</v>
      </c>
    </row>
    <row r="83" spans="1:3" ht="15" customHeight="1" x14ac:dyDescent="0.25">
      <c r="A83" s="87" t="s">
        <v>283</v>
      </c>
      <c r="B83" s="87" t="s">
        <v>284</v>
      </c>
      <c r="C83" s="87" t="s">
        <v>120</v>
      </c>
    </row>
    <row r="84" spans="1:3" ht="15" customHeight="1" x14ac:dyDescent="0.25">
      <c r="A84" s="87" t="s">
        <v>285</v>
      </c>
      <c r="B84" s="87" t="s">
        <v>286</v>
      </c>
      <c r="C84" s="87" t="s">
        <v>120</v>
      </c>
    </row>
    <row r="85" spans="1:3" ht="15" customHeight="1" x14ac:dyDescent="0.25">
      <c r="A85" s="87" t="s">
        <v>287</v>
      </c>
      <c r="B85" s="87" t="s">
        <v>288</v>
      </c>
      <c r="C85" s="87" t="s">
        <v>120</v>
      </c>
    </row>
    <row r="86" spans="1:3" ht="15" customHeight="1" x14ac:dyDescent="0.25">
      <c r="A86" s="87" t="s">
        <v>289</v>
      </c>
      <c r="B86" s="87" t="s">
        <v>290</v>
      </c>
      <c r="C86" s="87" t="s">
        <v>120</v>
      </c>
    </row>
    <row r="87" spans="1:3" ht="15" customHeight="1" x14ac:dyDescent="0.25">
      <c r="A87" s="87" t="s">
        <v>291</v>
      </c>
      <c r="B87" s="87" t="s">
        <v>292</v>
      </c>
      <c r="C87" s="87" t="s">
        <v>137</v>
      </c>
    </row>
    <row r="88" spans="1:3" ht="15" customHeight="1" x14ac:dyDescent="0.25">
      <c r="A88" s="87" t="s">
        <v>293</v>
      </c>
      <c r="B88" s="87" t="s">
        <v>294</v>
      </c>
      <c r="C88" s="87" t="s">
        <v>137</v>
      </c>
    </row>
    <row r="89" spans="1:3" ht="15" customHeight="1" x14ac:dyDescent="0.25">
      <c r="A89" s="87" t="s">
        <v>295</v>
      </c>
      <c r="B89" s="87" t="s">
        <v>296</v>
      </c>
      <c r="C89" s="87" t="s">
        <v>137</v>
      </c>
    </row>
    <row r="90" spans="1:3" ht="15" customHeight="1" x14ac:dyDescent="0.25">
      <c r="A90" s="87" t="s">
        <v>297</v>
      </c>
      <c r="B90" s="87" t="s">
        <v>298</v>
      </c>
      <c r="C90" s="87" t="s">
        <v>137</v>
      </c>
    </row>
    <row r="91" spans="1:3" ht="15" customHeight="1" x14ac:dyDescent="0.25">
      <c r="A91" s="87" t="s">
        <v>299</v>
      </c>
      <c r="B91" s="87" t="s">
        <v>300</v>
      </c>
      <c r="C91" s="87" t="s">
        <v>137</v>
      </c>
    </row>
    <row r="92" spans="1:3" ht="15" customHeight="1" x14ac:dyDescent="0.25">
      <c r="A92" s="87" t="s">
        <v>301</v>
      </c>
      <c r="B92" s="87" t="s">
        <v>302</v>
      </c>
      <c r="C92" s="87" t="s">
        <v>137</v>
      </c>
    </row>
    <row r="93" spans="1:3" ht="15" customHeight="1" x14ac:dyDescent="0.25">
      <c r="A93" s="87" t="s">
        <v>303</v>
      </c>
      <c r="B93" s="87" t="s">
        <v>304</v>
      </c>
      <c r="C93" s="87" t="s">
        <v>137</v>
      </c>
    </row>
    <row r="94" spans="1:3" ht="15" customHeight="1" x14ac:dyDescent="0.25">
      <c r="A94" s="87" t="s">
        <v>305</v>
      </c>
      <c r="B94" s="87" t="s">
        <v>306</v>
      </c>
      <c r="C94" s="87" t="s">
        <v>137</v>
      </c>
    </row>
    <row r="95" spans="1:3" ht="15" customHeight="1" x14ac:dyDescent="0.25">
      <c r="A95" s="87" t="s">
        <v>307</v>
      </c>
      <c r="B95" s="87" t="s">
        <v>308</v>
      </c>
      <c r="C95" s="87" t="s">
        <v>137</v>
      </c>
    </row>
    <row r="96" spans="1:3" ht="15" customHeight="1" x14ac:dyDescent="0.25">
      <c r="A96" s="87" t="s">
        <v>309</v>
      </c>
      <c r="B96" s="87" t="s">
        <v>310</v>
      </c>
      <c r="C96" s="87" t="s">
        <v>137</v>
      </c>
    </row>
    <row r="97" spans="1:3" ht="15" customHeight="1" x14ac:dyDescent="0.25">
      <c r="A97" s="87" t="s">
        <v>311</v>
      </c>
      <c r="B97" s="87" t="s">
        <v>312</v>
      </c>
      <c r="C97" s="87" t="s">
        <v>137</v>
      </c>
    </row>
    <row r="98" spans="1:3" ht="15" customHeight="1" x14ac:dyDescent="0.25">
      <c r="A98" s="87" t="s">
        <v>313</v>
      </c>
      <c r="B98" s="87" t="s">
        <v>314</v>
      </c>
      <c r="C98" s="87" t="s">
        <v>137</v>
      </c>
    </row>
    <row r="99" spans="1:3" ht="15" customHeight="1" x14ac:dyDescent="0.25">
      <c r="A99" s="87" t="s">
        <v>315</v>
      </c>
      <c r="B99" s="87" t="s">
        <v>316</v>
      </c>
      <c r="C99" s="87" t="s">
        <v>137</v>
      </c>
    </row>
    <row r="100" spans="1:3" ht="15" customHeight="1" x14ac:dyDescent="0.25">
      <c r="A100" s="87" t="s">
        <v>317</v>
      </c>
      <c r="B100" s="87" t="s">
        <v>318</v>
      </c>
      <c r="C100" s="87" t="s">
        <v>137</v>
      </c>
    </row>
    <row r="101" spans="1:3" ht="15" customHeight="1" x14ac:dyDescent="0.25">
      <c r="A101" s="87" t="s">
        <v>319</v>
      </c>
      <c r="B101" s="87" t="s">
        <v>320</v>
      </c>
      <c r="C101" s="87" t="s">
        <v>137</v>
      </c>
    </row>
    <row r="102" spans="1:3" ht="15" customHeight="1" x14ac:dyDescent="0.25">
      <c r="A102" s="87" t="s">
        <v>321</v>
      </c>
      <c r="B102" s="87" t="s">
        <v>322</v>
      </c>
      <c r="C102" s="87" t="s">
        <v>137</v>
      </c>
    </row>
    <row r="103" spans="1:3" ht="15" customHeight="1" x14ac:dyDescent="0.25">
      <c r="A103" s="87" t="s">
        <v>323</v>
      </c>
      <c r="B103" s="87" t="s">
        <v>324</v>
      </c>
      <c r="C103" s="87" t="s">
        <v>137</v>
      </c>
    </row>
    <row r="104" spans="1:3" ht="15" customHeight="1" x14ac:dyDescent="0.25">
      <c r="A104" s="87" t="s">
        <v>325</v>
      </c>
      <c r="B104" s="87" t="s">
        <v>326</v>
      </c>
      <c r="C104" s="87" t="s">
        <v>137</v>
      </c>
    </row>
    <row r="105" spans="1:3" ht="15" customHeight="1" x14ac:dyDescent="0.25">
      <c r="A105" s="87" t="s">
        <v>327</v>
      </c>
      <c r="B105" s="87" t="s">
        <v>328</v>
      </c>
      <c r="C105" s="87" t="s">
        <v>137</v>
      </c>
    </row>
    <row r="106" spans="1:3" ht="15" customHeight="1" x14ac:dyDescent="0.25">
      <c r="A106" s="87" t="s">
        <v>329</v>
      </c>
      <c r="B106" s="87" t="s">
        <v>330</v>
      </c>
      <c r="C106" s="87" t="s">
        <v>137</v>
      </c>
    </row>
    <row r="107" spans="1:3" ht="15" customHeight="1" x14ac:dyDescent="0.25">
      <c r="A107" s="87" t="s">
        <v>331</v>
      </c>
      <c r="B107" s="87" t="s">
        <v>332</v>
      </c>
      <c r="C107" s="87" t="s">
        <v>137</v>
      </c>
    </row>
    <row r="108" spans="1:3" ht="15" customHeight="1" x14ac:dyDescent="0.25">
      <c r="A108" s="87" t="s">
        <v>333</v>
      </c>
      <c r="B108" s="87" t="s">
        <v>334</v>
      </c>
      <c r="C108" s="87" t="s">
        <v>137</v>
      </c>
    </row>
    <row r="109" spans="1:3" ht="15" customHeight="1" x14ac:dyDescent="0.25">
      <c r="A109" s="87" t="s">
        <v>335</v>
      </c>
      <c r="B109" s="87" t="s">
        <v>336</v>
      </c>
      <c r="C109" s="87" t="s">
        <v>137</v>
      </c>
    </row>
    <row r="110" spans="1:3" ht="15" customHeight="1" x14ac:dyDescent="0.25">
      <c r="A110" s="87" t="s">
        <v>337</v>
      </c>
      <c r="B110" s="87" t="s">
        <v>338</v>
      </c>
      <c r="C110" s="87" t="s">
        <v>137</v>
      </c>
    </row>
    <row r="111" spans="1:3" ht="15" customHeight="1" x14ac:dyDescent="0.25">
      <c r="A111" s="87" t="s">
        <v>339</v>
      </c>
      <c r="B111" s="87" t="s">
        <v>340</v>
      </c>
      <c r="C111" s="87" t="s">
        <v>137</v>
      </c>
    </row>
    <row r="112" spans="1:3" ht="15" customHeight="1" x14ac:dyDescent="0.25">
      <c r="A112" s="87" t="s">
        <v>341</v>
      </c>
      <c r="B112" s="87" t="s">
        <v>342</v>
      </c>
      <c r="C112" s="87" t="s">
        <v>137</v>
      </c>
    </row>
    <row r="113" spans="1:3" ht="15" customHeight="1" x14ac:dyDescent="0.25">
      <c r="A113" s="87" t="s">
        <v>343</v>
      </c>
      <c r="B113" s="87" t="s">
        <v>344</v>
      </c>
      <c r="C113" s="87" t="s">
        <v>137</v>
      </c>
    </row>
    <row r="114" spans="1:3" ht="15" customHeight="1" x14ac:dyDescent="0.25">
      <c r="A114" s="87" t="s">
        <v>345</v>
      </c>
      <c r="B114" s="87" t="s">
        <v>346</v>
      </c>
      <c r="C114" s="87" t="s">
        <v>137</v>
      </c>
    </row>
    <row r="115" spans="1:3" ht="15" customHeight="1" x14ac:dyDescent="0.25">
      <c r="A115" s="87" t="s">
        <v>347</v>
      </c>
      <c r="B115" s="87" t="s">
        <v>348</v>
      </c>
      <c r="C115" s="87" t="s">
        <v>137</v>
      </c>
    </row>
    <row r="116" spans="1:3" ht="15" customHeight="1" x14ac:dyDescent="0.25">
      <c r="A116" s="87" t="s">
        <v>349</v>
      </c>
      <c r="B116" s="87" t="s">
        <v>350</v>
      </c>
      <c r="C116" s="87" t="s">
        <v>137</v>
      </c>
    </row>
    <row r="117" spans="1:3" ht="15" customHeight="1" x14ac:dyDescent="0.25">
      <c r="A117" s="87" t="s">
        <v>351</v>
      </c>
      <c r="B117" s="87" t="s">
        <v>352</v>
      </c>
      <c r="C117" s="87" t="s">
        <v>137</v>
      </c>
    </row>
    <row r="118" spans="1:3" ht="15" customHeight="1" x14ac:dyDescent="0.25">
      <c r="A118" s="87" t="s">
        <v>353</v>
      </c>
      <c r="B118" s="87" t="s">
        <v>354</v>
      </c>
      <c r="C118" s="87" t="s">
        <v>137</v>
      </c>
    </row>
    <row r="119" spans="1:3" ht="15" customHeight="1" x14ac:dyDescent="0.25">
      <c r="A119" s="87" t="s">
        <v>355</v>
      </c>
      <c r="B119" s="87" t="s">
        <v>356</v>
      </c>
      <c r="C119" s="87" t="s">
        <v>137</v>
      </c>
    </row>
    <row r="120" spans="1:3" ht="15" customHeight="1" x14ac:dyDescent="0.25">
      <c r="A120" s="87" t="s">
        <v>357</v>
      </c>
      <c r="B120" s="87" t="s">
        <v>358</v>
      </c>
      <c r="C120" s="87" t="s">
        <v>137</v>
      </c>
    </row>
    <row r="121" spans="1:3" ht="15" customHeight="1" x14ac:dyDescent="0.25">
      <c r="A121" s="87" t="s">
        <v>359</v>
      </c>
      <c r="B121" s="87" t="s">
        <v>360</v>
      </c>
      <c r="C121" s="87" t="s">
        <v>137</v>
      </c>
    </row>
    <row r="122" spans="1:3" ht="15" customHeight="1" x14ac:dyDescent="0.25">
      <c r="A122" s="87" t="s">
        <v>361</v>
      </c>
      <c r="B122" s="87" t="s">
        <v>362</v>
      </c>
      <c r="C122" s="87" t="s">
        <v>137</v>
      </c>
    </row>
    <row r="123" spans="1:3" ht="15" customHeight="1" x14ac:dyDescent="0.25">
      <c r="A123" s="87" t="s">
        <v>363</v>
      </c>
      <c r="B123" s="87" t="s">
        <v>364</v>
      </c>
      <c r="C123" s="87" t="s">
        <v>137</v>
      </c>
    </row>
    <row r="124" spans="1:3" ht="15" customHeight="1" x14ac:dyDescent="0.25">
      <c r="A124" s="87" t="s">
        <v>365</v>
      </c>
      <c r="B124" s="87" t="s">
        <v>366</v>
      </c>
      <c r="C124" s="87" t="s">
        <v>137</v>
      </c>
    </row>
    <row r="125" spans="1:3" ht="15" customHeight="1" x14ac:dyDescent="0.25">
      <c r="A125" s="87" t="s">
        <v>367</v>
      </c>
      <c r="B125" s="87" t="s">
        <v>368</v>
      </c>
      <c r="C125" s="87" t="s">
        <v>137</v>
      </c>
    </row>
    <row r="126" spans="1:3" ht="15" customHeight="1" x14ac:dyDescent="0.25">
      <c r="A126" s="87" t="s">
        <v>369</v>
      </c>
      <c r="B126" s="87" t="s">
        <v>370</v>
      </c>
      <c r="C126" s="87" t="s">
        <v>137</v>
      </c>
    </row>
    <row r="127" spans="1:3" ht="15" customHeight="1" x14ac:dyDescent="0.25">
      <c r="A127" s="87" t="s">
        <v>371</v>
      </c>
      <c r="B127" s="87" t="s">
        <v>372</v>
      </c>
      <c r="C127" s="87" t="s">
        <v>137</v>
      </c>
    </row>
    <row r="128" spans="1:3" ht="15" customHeight="1" x14ac:dyDescent="0.25">
      <c r="A128" s="87" t="s">
        <v>373</v>
      </c>
      <c r="B128" s="87" t="s">
        <v>374</v>
      </c>
      <c r="C128" s="87" t="s">
        <v>137</v>
      </c>
    </row>
    <row r="129" spans="1:3" ht="15" customHeight="1" x14ac:dyDescent="0.25">
      <c r="A129" s="87" t="s">
        <v>375</v>
      </c>
      <c r="B129" s="87" t="s">
        <v>376</v>
      </c>
      <c r="C129" s="87" t="s">
        <v>137</v>
      </c>
    </row>
    <row r="130" spans="1:3" ht="15" customHeight="1" x14ac:dyDescent="0.25">
      <c r="A130" s="87" t="s">
        <v>377</v>
      </c>
      <c r="B130" s="87" t="s">
        <v>378</v>
      </c>
      <c r="C130" s="87" t="s">
        <v>137</v>
      </c>
    </row>
    <row r="131" spans="1:3" ht="15" customHeight="1" x14ac:dyDescent="0.25">
      <c r="A131" s="87" t="s">
        <v>379</v>
      </c>
      <c r="B131" s="87" t="s">
        <v>380</v>
      </c>
      <c r="C131" s="87" t="s">
        <v>137</v>
      </c>
    </row>
    <row r="132" spans="1:3" ht="15" customHeight="1" x14ac:dyDescent="0.25">
      <c r="A132" s="87" t="s">
        <v>381</v>
      </c>
      <c r="B132" s="87" t="s">
        <v>382</v>
      </c>
      <c r="C132" s="87" t="s">
        <v>137</v>
      </c>
    </row>
    <row r="133" spans="1:3" ht="15" customHeight="1" x14ac:dyDescent="0.25">
      <c r="A133" s="87" t="s">
        <v>383</v>
      </c>
      <c r="B133" s="87" t="s">
        <v>384</v>
      </c>
      <c r="C133" s="87" t="s">
        <v>137</v>
      </c>
    </row>
    <row r="134" spans="1:3" ht="15" customHeight="1" x14ac:dyDescent="0.25">
      <c r="A134" s="87" t="s">
        <v>385</v>
      </c>
      <c r="B134" s="87" t="s">
        <v>386</v>
      </c>
      <c r="C134" s="87" t="s">
        <v>137</v>
      </c>
    </row>
    <row r="135" spans="1:3" ht="15" customHeight="1" x14ac:dyDescent="0.25">
      <c r="A135" s="87" t="s">
        <v>387</v>
      </c>
      <c r="B135" s="87" t="s">
        <v>388</v>
      </c>
      <c r="C135" s="87" t="s">
        <v>137</v>
      </c>
    </row>
    <row r="136" spans="1:3" ht="15" customHeight="1" x14ac:dyDescent="0.25">
      <c r="A136" s="87" t="s">
        <v>389</v>
      </c>
      <c r="B136" s="87" t="s">
        <v>390</v>
      </c>
      <c r="C136" s="87" t="s">
        <v>137</v>
      </c>
    </row>
    <row r="137" spans="1:3" ht="15" customHeight="1" x14ac:dyDescent="0.25">
      <c r="A137" s="87" t="s">
        <v>391</v>
      </c>
      <c r="B137" s="87" t="s">
        <v>392</v>
      </c>
      <c r="C137" s="87" t="s">
        <v>137</v>
      </c>
    </row>
    <row r="138" spans="1:3" ht="15" customHeight="1" x14ac:dyDescent="0.25">
      <c r="A138" s="87" t="s">
        <v>393</v>
      </c>
      <c r="B138" s="87" t="s">
        <v>394</v>
      </c>
      <c r="C138" s="87" t="s">
        <v>137</v>
      </c>
    </row>
    <row r="139" spans="1:3" ht="15" customHeight="1" x14ac:dyDescent="0.25">
      <c r="A139" s="87" t="s">
        <v>395</v>
      </c>
      <c r="B139" s="87" t="s">
        <v>396</v>
      </c>
      <c r="C139" s="87" t="s">
        <v>137</v>
      </c>
    </row>
    <row r="140" spans="1:3" ht="15" customHeight="1" x14ac:dyDescent="0.25">
      <c r="A140" s="87" t="s">
        <v>397</v>
      </c>
      <c r="B140" s="87" t="s">
        <v>398</v>
      </c>
      <c r="C140" s="87" t="s">
        <v>137</v>
      </c>
    </row>
    <row r="141" spans="1:3" ht="15" customHeight="1" x14ac:dyDescent="0.25">
      <c r="A141" s="87" t="s">
        <v>399</v>
      </c>
      <c r="B141" s="87" t="s">
        <v>400</v>
      </c>
      <c r="C141" s="87" t="s">
        <v>137</v>
      </c>
    </row>
    <row r="142" spans="1:3" ht="15" customHeight="1" x14ac:dyDescent="0.25">
      <c r="A142" s="87" t="s">
        <v>401</v>
      </c>
      <c r="B142" s="87" t="s">
        <v>402</v>
      </c>
      <c r="C142" s="87" t="s">
        <v>137</v>
      </c>
    </row>
    <row r="143" spans="1:3" ht="15" customHeight="1" x14ac:dyDescent="0.25">
      <c r="A143" s="87" t="s">
        <v>403</v>
      </c>
      <c r="B143" s="87" t="s">
        <v>404</v>
      </c>
      <c r="C143" s="87" t="s">
        <v>137</v>
      </c>
    </row>
    <row r="144" spans="1:3" ht="15" customHeight="1" x14ac:dyDescent="0.25">
      <c r="A144" s="87" t="s">
        <v>405</v>
      </c>
      <c r="B144" s="87" t="s">
        <v>406</v>
      </c>
      <c r="C144" s="87" t="s">
        <v>137</v>
      </c>
    </row>
    <row r="145" spans="1:3" ht="15" customHeight="1" x14ac:dyDescent="0.25">
      <c r="A145" s="87" t="s">
        <v>407</v>
      </c>
      <c r="B145" s="87" t="s">
        <v>408</v>
      </c>
      <c r="C145" s="87" t="s">
        <v>137</v>
      </c>
    </row>
    <row r="146" spans="1:3" ht="15" customHeight="1" x14ac:dyDescent="0.25">
      <c r="A146" s="87" t="s">
        <v>409</v>
      </c>
      <c r="B146" s="87" t="s">
        <v>410</v>
      </c>
      <c r="C146" s="87" t="s">
        <v>137</v>
      </c>
    </row>
    <row r="147" spans="1:3" ht="15" customHeight="1" x14ac:dyDescent="0.25">
      <c r="A147" s="87" t="s">
        <v>411</v>
      </c>
      <c r="B147" s="87" t="s">
        <v>412</v>
      </c>
      <c r="C147" s="87" t="s">
        <v>137</v>
      </c>
    </row>
    <row r="148" spans="1:3" ht="15" customHeight="1" x14ac:dyDescent="0.25">
      <c r="A148" s="87" t="s">
        <v>413</v>
      </c>
      <c r="B148" s="87" t="s">
        <v>414</v>
      </c>
      <c r="C148" s="87" t="s">
        <v>137</v>
      </c>
    </row>
    <row r="149" spans="1:3" ht="15" customHeight="1" x14ac:dyDescent="0.25">
      <c r="A149" s="87" t="s">
        <v>415</v>
      </c>
      <c r="B149" s="87" t="s">
        <v>416</v>
      </c>
      <c r="C149" s="87" t="s">
        <v>137</v>
      </c>
    </row>
    <row r="150" spans="1:3" ht="15" customHeight="1" x14ac:dyDescent="0.25">
      <c r="A150" s="87" t="s">
        <v>417</v>
      </c>
      <c r="B150" s="87" t="s">
        <v>418</v>
      </c>
      <c r="C150" s="87" t="s">
        <v>137</v>
      </c>
    </row>
    <row r="151" spans="1:3" ht="15" customHeight="1" x14ac:dyDescent="0.25">
      <c r="A151" s="87" t="s">
        <v>419</v>
      </c>
      <c r="B151" s="87" t="s">
        <v>420</v>
      </c>
      <c r="C151" s="87" t="s">
        <v>137</v>
      </c>
    </row>
    <row r="152" spans="1:3" ht="15" customHeight="1" x14ac:dyDescent="0.25">
      <c r="A152" s="87" t="s">
        <v>421</v>
      </c>
      <c r="B152" s="87" t="s">
        <v>422</v>
      </c>
      <c r="C152" s="87" t="s">
        <v>137</v>
      </c>
    </row>
    <row r="153" spans="1:3" ht="15" customHeight="1" x14ac:dyDescent="0.25">
      <c r="A153" s="87" t="s">
        <v>423</v>
      </c>
      <c r="B153" s="87" t="s">
        <v>424</v>
      </c>
      <c r="C153" s="87" t="s">
        <v>137</v>
      </c>
    </row>
    <row r="154" spans="1:3" ht="15" customHeight="1" x14ac:dyDescent="0.25">
      <c r="A154" s="87" t="s">
        <v>425</v>
      </c>
      <c r="B154" s="87" t="s">
        <v>426</v>
      </c>
      <c r="C154" s="87" t="s">
        <v>137</v>
      </c>
    </row>
    <row r="155" spans="1:3" ht="15" customHeight="1" x14ac:dyDescent="0.25">
      <c r="A155" s="87" t="s">
        <v>427</v>
      </c>
      <c r="B155" s="87" t="s">
        <v>428</v>
      </c>
      <c r="C155" s="87" t="s">
        <v>137</v>
      </c>
    </row>
    <row r="156" spans="1:3" ht="15" customHeight="1" x14ac:dyDescent="0.25">
      <c r="A156" s="87" t="s">
        <v>429</v>
      </c>
      <c r="B156" s="87" t="s">
        <v>430</v>
      </c>
      <c r="C156" s="87" t="s">
        <v>137</v>
      </c>
    </row>
    <row r="157" spans="1:3" ht="15" customHeight="1" x14ac:dyDescent="0.25">
      <c r="A157" s="87" t="s">
        <v>431</v>
      </c>
      <c r="B157" s="87" t="s">
        <v>432</v>
      </c>
      <c r="C157" s="87" t="s">
        <v>137</v>
      </c>
    </row>
    <row r="158" spans="1:3" ht="15" customHeight="1" x14ac:dyDescent="0.25">
      <c r="A158" s="87" t="s">
        <v>433</v>
      </c>
      <c r="B158" s="87" t="s">
        <v>434</v>
      </c>
      <c r="C158" s="87" t="s">
        <v>137</v>
      </c>
    </row>
    <row r="159" spans="1:3" ht="15" customHeight="1" x14ac:dyDescent="0.25">
      <c r="A159" s="87" t="s">
        <v>435</v>
      </c>
      <c r="B159" s="87" t="s">
        <v>436</v>
      </c>
      <c r="C159" s="87" t="s">
        <v>137</v>
      </c>
    </row>
    <row r="160" spans="1:3" ht="15" customHeight="1" x14ac:dyDescent="0.25">
      <c r="A160" s="87" t="s">
        <v>437</v>
      </c>
      <c r="B160" s="87" t="s">
        <v>438</v>
      </c>
      <c r="C160" s="87" t="s">
        <v>137</v>
      </c>
    </row>
    <row r="161" spans="1:3" ht="15" customHeight="1" x14ac:dyDescent="0.25">
      <c r="A161" s="87" t="s">
        <v>439</v>
      </c>
      <c r="B161" s="87" t="s">
        <v>440</v>
      </c>
      <c r="C161" s="87" t="s">
        <v>120</v>
      </c>
    </row>
    <row r="162" spans="1:3" ht="15" customHeight="1" x14ac:dyDescent="0.25">
      <c r="A162" s="87" t="s">
        <v>441</v>
      </c>
      <c r="B162" s="87" t="s">
        <v>442</v>
      </c>
      <c r="C162" s="87" t="s">
        <v>137</v>
      </c>
    </row>
    <row r="163" spans="1:3" ht="15" customHeight="1" x14ac:dyDescent="0.25">
      <c r="A163" s="87" t="s">
        <v>443</v>
      </c>
      <c r="B163" s="87" t="s">
        <v>444</v>
      </c>
      <c r="C163" s="87" t="s">
        <v>137</v>
      </c>
    </row>
    <row r="164" spans="1:3" ht="15" customHeight="1" x14ac:dyDescent="0.25">
      <c r="A164" s="87" t="s">
        <v>445</v>
      </c>
      <c r="B164" s="87" t="s">
        <v>446</v>
      </c>
      <c r="C164" s="87" t="s">
        <v>137</v>
      </c>
    </row>
    <row r="165" spans="1:3" ht="15" customHeight="1" x14ac:dyDescent="0.25">
      <c r="A165" s="87" t="s">
        <v>447</v>
      </c>
      <c r="B165" s="87" t="s">
        <v>448</v>
      </c>
      <c r="C165" s="87" t="s">
        <v>137</v>
      </c>
    </row>
    <row r="166" spans="1:3" ht="15" customHeight="1" x14ac:dyDescent="0.25">
      <c r="A166" s="87" t="s">
        <v>449</v>
      </c>
      <c r="B166" s="87" t="s">
        <v>450</v>
      </c>
      <c r="C166" s="87" t="s">
        <v>120</v>
      </c>
    </row>
    <row r="167" spans="1:3" ht="15" customHeight="1" x14ac:dyDescent="0.25">
      <c r="A167" s="87" t="s">
        <v>451</v>
      </c>
      <c r="B167" s="87" t="s">
        <v>452</v>
      </c>
      <c r="C167" s="87" t="s">
        <v>137</v>
      </c>
    </row>
    <row r="168" spans="1:3" ht="15" customHeight="1" x14ac:dyDescent="0.25">
      <c r="A168" s="87" t="s">
        <v>453</v>
      </c>
      <c r="B168" s="87" t="s">
        <v>454</v>
      </c>
      <c r="C168" s="87" t="s">
        <v>120</v>
      </c>
    </row>
    <row r="169" spans="1:3" ht="15" customHeight="1" x14ac:dyDescent="0.25">
      <c r="A169" s="87" t="s">
        <v>455</v>
      </c>
      <c r="B169" s="87" t="s">
        <v>456</v>
      </c>
      <c r="C169" s="87" t="s">
        <v>137</v>
      </c>
    </row>
    <row r="170" spans="1:3" ht="15" customHeight="1" x14ac:dyDescent="0.25">
      <c r="A170" s="87" t="s">
        <v>457</v>
      </c>
      <c r="B170" s="87" t="s">
        <v>458</v>
      </c>
      <c r="C170" s="87" t="s">
        <v>137</v>
      </c>
    </row>
    <row r="171" spans="1:3" ht="15" customHeight="1" x14ac:dyDescent="0.25">
      <c r="A171" s="87" t="s">
        <v>459</v>
      </c>
      <c r="B171" s="87" t="s">
        <v>460</v>
      </c>
      <c r="C171" s="87" t="s">
        <v>137</v>
      </c>
    </row>
    <row r="172" spans="1:3" ht="15" customHeight="1" x14ac:dyDescent="0.25">
      <c r="A172" s="87" t="s">
        <v>461</v>
      </c>
      <c r="B172" s="87" t="s">
        <v>462</v>
      </c>
      <c r="C172" s="87" t="s">
        <v>137</v>
      </c>
    </row>
    <row r="173" spans="1:3" ht="15" customHeight="1" x14ac:dyDescent="0.25">
      <c r="A173" s="87" t="s">
        <v>463</v>
      </c>
      <c r="B173" s="87" t="s">
        <v>464</v>
      </c>
      <c r="C173" s="87" t="s">
        <v>137</v>
      </c>
    </row>
    <row r="174" spans="1:3" ht="15" customHeight="1" x14ac:dyDescent="0.25">
      <c r="A174" s="87" t="s">
        <v>465</v>
      </c>
      <c r="B174" s="87" t="s">
        <v>466</v>
      </c>
      <c r="C174" s="87" t="s">
        <v>137</v>
      </c>
    </row>
    <row r="175" spans="1:3" ht="15" customHeight="1" x14ac:dyDescent="0.25">
      <c r="A175" s="87" t="s">
        <v>467</v>
      </c>
      <c r="B175" s="87" t="s">
        <v>468</v>
      </c>
      <c r="C175" s="87" t="s">
        <v>137</v>
      </c>
    </row>
    <row r="176" spans="1:3" ht="15" customHeight="1" x14ac:dyDescent="0.25">
      <c r="A176" s="87" t="s">
        <v>469</v>
      </c>
      <c r="B176" s="87" t="s">
        <v>470</v>
      </c>
      <c r="C176" s="87" t="s">
        <v>120</v>
      </c>
    </row>
    <row r="177" spans="1:3" ht="15" customHeight="1" x14ac:dyDescent="0.25">
      <c r="A177" s="87" t="s">
        <v>471</v>
      </c>
      <c r="B177" s="87" t="s">
        <v>472</v>
      </c>
      <c r="C177" s="87" t="s">
        <v>137</v>
      </c>
    </row>
    <row r="178" spans="1:3" ht="15" customHeight="1" x14ac:dyDescent="0.25">
      <c r="A178" s="87" t="s">
        <v>473</v>
      </c>
      <c r="B178" s="87" t="s">
        <v>474</v>
      </c>
      <c r="C178" s="87" t="s">
        <v>137</v>
      </c>
    </row>
    <row r="179" spans="1:3" ht="15" customHeight="1" x14ac:dyDescent="0.25">
      <c r="A179" s="87" t="s">
        <v>475</v>
      </c>
      <c r="B179" s="87" t="s">
        <v>476</v>
      </c>
      <c r="C179" s="87" t="s">
        <v>120</v>
      </c>
    </row>
    <row r="180" spans="1:3" ht="15" customHeight="1" x14ac:dyDescent="0.25">
      <c r="A180" s="87" t="s">
        <v>477</v>
      </c>
      <c r="B180" s="87" t="s">
        <v>478</v>
      </c>
      <c r="C180" s="87" t="s">
        <v>120</v>
      </c>
    </row>
    <row r="181" spans="1:3" ht="15" customHeight="1" x14ac:dyDescent="0.25">
      <c r="A181" s="87" t="s">
        <v>479</v>
      </c>
      <c r="B181" s="87" t="s">
        <v>480</v>
      </c>
      <c r="C181" s="87" t="s">
        <v>120</v>
      </c>
    </row>
    <row r="182" spans="1:3" ht="15" customHeight="1" x14ac:dyDescent="0.25">
      <c r="A182" s="87" t="s">
        <v>481</v>
      </c>
      <c r="B182" s="87" t="s">
        <v>482</v>
      </c>
      <c r="C182" s="87" t="s">
        <v>137</v>
      </c>
    </row>
    <row r="183" spans="1:3" ht="15" customHeight="1" x14ac:dyDescent="0.25">
      <c r="A183" s="87" t="s">
        <v>483</v>
      </c>
      <c r="B183" s="87" t="s">
        <v>484</v>
      </c>
      <c r="C183" s="87" t="s">
        <v>137</v>
      </c>
    </row>
    <row r="184" spans="1:3" ht="15" customHeight="1" x14ac:dyDescent="0.25">
      <c r="A184" s="87" t="s">
        <v>485</v>
      </c>
      <c r="B184" s="87" t="s">
        <v>486</v>
      </c>
      <c r="C184" s="87" t="s">
        <v>137</v>
      </c>
    </row>
    <row r="185" spans="1:3" ht="15" customHeight="1" x14ac:dyDescent="0.25">
      <c r="A185" s="87" t="s">
        <v>487</v>
      </c>
      <c r="B185" s="87" t="s">
        <v>488</v>
      </c>
      <c r="C185" s="87" t="s">
        <v>137</v>
      </c>
    </row>
    <row r="186" spans="1:3" ht="15" customHeight="1" x14ac:dyDescent="0.25">
      <c r="A186" s="87" t="s">
        <v>489</v>
      </c>
      <c r="B186" s="87" t="s">
        <v>490</v>
      </c>
      <c r="C186" s="87" t="s">
        <v>137</v>
      </c>
    </row>
    <row r="187" spans="1:3" ht="15" customHeight="1" x14ac:dyDescent="0.25">
      <c r="A187" s="87" t="s">
        <v>491</v>
      </c>
      <c r="B187" s="87" t="s">
        <v>492</v>
      </c>
      <c r="C187" s="87" t="s">
        <v>137</v>
      </c>
    </row>
    <row r="188" spans="1:3" ht="15" customHeight="1" x14ac:dyDescent="0.25">
      <c r="A188" s="87" t="s">
        <v>493</v>
      </c>
      <c r="B188" s="87" t="s">
        <v>494</v>
      </c>
      <c r="C188" s="87" t="s">
        <v>137</v>
      </c>
    </row>
    <row r="189" spans="1:3" ht="15" customHeight="1" x14ac:dyDescent="0.25">
      <c r="A189" s="87" t="s">
        <v>495</v>
      </c>
      <c r="B189" s="87" t="s">
        <v>496</v>
      </c>
      <c r="C189" s="87" t="s">
        <v>137</v>
      </c>
    </row>
    <row r="190" spans="1:3" ht="15" customHeight="1" x14ac:dyDescent="0.25">
      <c r="A190" s="87" t="s">
        <v>497</v>
      </c>
      <c r="B190" s="87" t="s">
        <v>498</v>
      </c>
      <c r="C190" s="87" t="s">
        <v>120</v>
      </c>
    </row>
    <row r="191" spans="1:3" ht="15" customHeight="1" x14ac:dyDescent="0.25">
      <c r="A191" s="87" t="s">
        <v>499</v>
      </c>
      <c r="B191" s="87" t="s">
        <v>500</v>
      </c>
      <c r="C191" s="87" t="s">
        <v>120</v>
      </c>
    </row>
    <row r="192" spans="1:3" ht="15" customHeight="1" x14ac:dyDescent="0.25">
      <c r="A192" s="87" t="s">
        <v>501</v>
      </c>
      <c r="B192" s="87" t="s">
        <v>502</v>
      </c>
      <c r="C192" s="87" t="s">
        <v>120</v>
      </c>
    </row>
    <row r="193" spans="1:3" ht="15" customHeight="1" x14ac:dyDescent="0.25">
      <c r="A193" s="87" t="s">
        <v>503</v>
      </c>
      <c r="B193" s="87" t="s">
        <v>504</v>
      </c>
      <c r="C193" s="87" t="s">
        <v>120</v>
      </c>
    </row>
    <row r="194" spans="1:3" ht="15" customHeight="1" x14ac:dyDescent="0.25">
      <c r="A194" s="87" t="s">
        <v>505</v>
      </c>
      <c r="B194" s="87" t="s">
        <v>506</v>
      </c>
      <c r="C194" s="87" t="s">
        <v>137</v>
      </c>
    </row>
    <row r="195" spans="1:3" ht="15" customHeight="1" x14ac:dyDescent="0.25">
      <c r="A195" s="87" t="s">
        <v>507</v>
      </c>
      <c r="B195" s="87" t="s">
        <v>508</v>
      </c>
      <c r="C195" s="87" t="s">
        <v>120</v>
      </c>
    </row>
    <row r="196" spans="1:3" ht="15" customHeight="1" x14ac:dyDescent="0.25">
      <c r="A196" s="87" t="s">
        <v>509</v>
      </c>
      <c r="B196" s="87" t="s">
        <v>510</v>
      </c>
      <c r="C196" s="87" t="s">
        <v>137</v>
      </c>
    </row>
    <row r="197" spans="1:3" ht="15" customHeight="1" x14ac:dyDescent="0.25">
      <c r="A197" s="87" t="s">
        <v>511</v>
      </c>
      <c r="B197" s="87" t="s">
        <v>512</v>
      </c>
      <c r="C197" s="87" t="s">
        <v>137</v>
      </c>
    </row>
    <row r="198" spans="1:3" ht="15" customHeight="1" x14ac:dyDescent="0.25">
      <c r="A198" s="87" t="s">
        <v>513</v>
      </c>
      <c r="B198" s="87" t="s">
        <v>514</v>
      </c>
      <c r="C198" s="87" t="s">
        <v>137</v>
      </c>
    </row>
    <row r="199" spans="1:3" ht="15" customHeight="1" x14ac:dyDescent="0.25">
      <c r="A199" s="87" t="s">
        <v>515</v>
      </c>
      <c r="B199" s="87" t="s">
        <v>516</v>
      </c>
      <c r="C199" s="87" t="s">
        <v>230</v>
      </c>
    </row>
    <row r="200" spans="1:3" ht="15" customHeight="1" x14ac:dyDescent="0.25">
      <c r="A200" s="87" t="s">
        <v>517</v>
      </c>
      <c r="B200" s="87" t="s">
        <v>518</v>
      </c>
      <c r="C200" s="87" t="s">
        <v>230</v>
      </c>
    </row>
    <row r="201" spans="1:3" ht="15" customHeight="1" x14ac:dyDescent="0.25">
      <c r="A201" s="87" t="s">
        <v>519</v>
      </c>
      <c r="B201" s="87" t="s">
        <v>520</v>
      </c>
      <c r="C201" s="87" t="s">
        <v>230</v>
      </c>
    </row>
    <row r="202" spans="1:3" ht="15" customHeight="1" x14ac:dyDescent="0.25">
      <c r="A202" s="87" t="s">
        <v>521</v>
      </c>
      <c r="B202" s="87" t="s">
        <v>522</v>
      </c>
      <c r="C202" s="87" t="s">
        <v>230</v>
      </c>
    </row>
    <row r="203" spans="1:3" ht="15" customHeight="1" x14ac:dyDescent="0.25">
      <c r="A203" s="87" t="s">
        <v>523</v>
      </c>
      <c r="B203" s="87" t="s">
        <v>524</v>
      </c>
      <c r="C203" s="87" t="s">
        <v>137</v>
      </c>
    </row>
    <row r="204" spans="1:3" ht="15" customHeight="1" x14ac:dyDescent="0.25">
      <c r="A204" s="87" t="s">
        <v>525</v>
      </c>
      <c r="B204" s="87" t="s">
        <v>526</v>
      </c>
      <c r="C204" s="87" t="s">
        <v>230</v>
      </c>
    </row>
    <row r="205" spans="1:3" ht="15" customHeight="1" x14ac:dyDescent="0.25">
      <c r="A205" s="87" t="s">
        <v>527</v>
      </c>
      <c r="B205" s="87" t="s">
        <v>528</v>
      </c>
      <c r="C205" s="87" t="s">
        <v>230</v>
      </c>
    </row>
    <row r="206" spans="1:3" ht="15" customHeight="1" x14ac:dyDescent="0.25">
      <c r="A206" s="87" t="s">
        <v>529</v>
      </c>
      <c r="B206" s="87" t="s">
        <v>530</v>
      </c>
      <c r="C206" s="87" t="s">
        <v>230</v>
      </c>
    </row>
    <row r="207" spans="1:3" ht="15" customHeight="1" x14ac:dyDescent="0.25">
      <c r="A207" s="87" t="s">
        <v>531</v>
      </c>
      <c r="B207" s="87" t="s">
        <v>532</v>
      </c>
      <c r="C207" s="87" t="s">
        <v>230</v>
      </c>
    </row>
    <row r="208" spans="1:3" ht="15" customHeight="1" x14ac:dyDescent="0.25">
      <c r="A208" s="87" t="s">
        <v>533</v>
      </c>
      <c r="B208" s="87" t="s">
        <v>534</v>
      </c>
      <c r="C208" s="87" t="s">
        <v>230</v>
      </c>
    </row>
    <row r="209" spans="1:3" ht="15" customHeight="1" x14ac:dyDescent="0.25">
      <c r="A209" s="87" t="s">
        <v>535</v>
      </c>
      <c r="B209" s="87" t="s">
        <v>536</v>
      </c>
      <c r="C209" s="87" t="s">
        <v>230</v>
      </c>
    </row>
    <row r="210" spans="1:3" ht="15" customHeight="1" x14ac:dyDescent="0.25">
      <c r="A210" s="87" t="s">
        <v>537</v>
      </c>
      <c r="B210" s="87" t="s">
        <v>538</v>
      </c>
      <c r="C210" s="87" t="s">
        <v>230</v>
      </c>
    </row>
    <row r="211" spans="1:3" ht="15" customHeight="1" x14ac:dyDescent="0.25">
      <c r="A211" s="87" t="s">
        <v>539</v>
      </c>
      <c r="B211" s="87" t="s">
        <v>540</v>
      </c>
      <c r="C211" s="87" t="s">
        <v>137</v>
      </c>
    </row>
    <row r="212" spans="1:3" ht="15" customHeight="1" x14ac:dyDescent="0.25">
      <c r="A212" s="87" t="s">
        <v>541</v>
      </c>
      <c r="B212" s="87" t="s">
        <v>542</v>
      </c>
      <c r="C212" s="87" t="s">
        <v>137</v>
      </c>
    </row>
    <row r="213" spans="1:3" ht="15" customHeight="1" x14ac:dyDescent="0.25">
      <c r="A213" s="87" t="s">
        <v>543</v>
      </c>
      <c r="B213" s="87" t="s">
        <v>544</v>
      </c>
      <c r="C213" s="87" t="s">
        <v>137</v>
      </c>
    </row>
    <row r="214" spans="1:3" ht="15" customHeight="1" x14ac:dyDescent="0.25">
      <c r="A214" s="87" t="s">
        <v>545</v>
      </c>
      <c r="B214" s="87" t="s">
        <v>546</v>
      </c>
      <c r="C214" s="87" t="s">
        <v>120</v>
      </c>
    </row>
    <row r="215" spans="1:3" ht="15" customHeight="1" x14ac:dyDescent="0.25">
      <c r="A215" s="87" t="s">
        <v>547</v>
      </c>
      <c r="B215" s="87" t="s">
        <v>548</v>
      </c>
      <c r="C215" s="87" t="s">
        <v>120</v>
      </c>
    </row>
    <row r="216" spans="1:3" ht="15" customHeight="1" x14ac:dyDescent="0.25">
      <c r="A216" s="87" t="s">
        <v>549</v>
      </c>
      <c r="B216" s="87" t="s">
        <v>550</v>
      </c>
      <c r="C216" s="87" t="s">
        <v>120</v>
      </c>
    </row>
    <row r="217" spans="1:3" ht="15" customHeight="1" x14ac:dyDescent="0.25">
      <c r="A217" s="87" t="s">
        <v>551</v>
      </c>
      <c r="B217" s="87" t="s">
        <v>552</v>
      </c>
      <c r="C217" s="87" t="s">
        <v>120</v>
      </c>
    </row>
    <row r="218" spans="1:3" ht="15" customHeight="1" x14ac:dyDescent="0.25">
      <c r="A218" s="87" t="s">
        <v>553</v>
      </c>
      <c r="B218" s="87" t="s">
        <v>554</v>
      </c>
      <c r="C218" s="87" t="s">
        <v>120</v>
      </c>
    </row>
    <row r="219" spans="1:3" ht="15" customHeight="1" x14ac:dyDescent="0.25">
      <c r="A219" s="87" t="s">
        <v>555</v>
      </c>
      <c r="B219" s="87" t="s">
        <v>556</v>
      </c>
      <c r="C219" s="87" t="s">
        <v>137</v>
      </c>
    </row>
    <row r="220" spans="1:3" ht="15" customHeight="1" x14ac:dyDescent="0.25">
      <c r="A220" s="87" t="s">
        <v>557</v>
      </c>
      <c r="B220" s="87" t="s">
        <v>558</v>
      </c>
      <c r="C220" s="87" t="s">
        <v>120</v>
      </c>
    </row>
    <row r="221" spans="1:3" ht="15" customHeight="1" x14ac:dyDescent="0.25">
      <c r="A221" s="87" t="s">
        <v>559</v>
      </c>
      <c r="B221" s="87" t="s">
        <v>560</v>
      </c>
      <c r="C221" s="87" t="s">
        <v>120</v>
      </c>
    </row>
    <row r="222" spans="1:3" ht="15" customHeight="1" x14ac:dyDescent="0.25">
      <c r="A222" s="87" t="s">
        <v>561</v>
      </c>
      <c r="B222" s="87" t="s">
        <v>562</v>
      </c>
      <c r="C222" s="87" t="s">
        <v>120</v>
      </c>
    </row>
    <row r="223" spans="1:3" ht="15" customHeight="1" x14ac:dyDescent="0.25">
      <c r="A223" s="87" t="s">
        <v>563</v>
      </c>
      <c r="B223" s="87" t="s">
        <v>564</v>
      </c>
      <c r="C223" s="87" t="s">
        <v>137</v>
      </c>
    </row>
    <row r="224" spans="1:3" ht="15" customHeight="1" x14ac:dyDescent="0.25">
      <c r="A224" s="87" t="s">
        <v>565</v>
      </c>
      <c r="B224" s="87" t="s">
        <v>566</v>
      </c>
      <c r="C224" s="87" t="s">
        <v>120</v>
      </c>
    </row>
    <row r="225" spans="1:3" ht="15" customHeight="1" x14ac:dyDescent="0.25">
      <c r="A225" s="87" t="s">
        <v>567</v>
      </c>
      <c r="B225" s="87" t="s">
        <v>568</v>
      </c>
      <c r="C225" s="87" t="s">
        <v>137</v>
      </c>
    </row>
    <row r="226" spans="1:3" ht="15" customHeight="1" x14ac:dyDescent="0.25">
      <c r="A226" s="87" t="s">
        <v>569</v>
      </c>
      <c r="B226" s="87" t="s">
        <v>570</v>
      </c>
      <c r="C226" s="87" t="s">
        <v>137</v>
      </c>
    </row>
    <row r="227" spans="1:3" ht="15" customHeight="1" x14ac:dyDescent="0.25">
      <c r="A227" s="87" t="s">
        <v>571</v>
      </c>
      <c r="B227" s="87" t="s">
        <v>572</v>
      </c>
      <c r="C227" s="87" t="s">
        <v>120</v>
      </c>
    </row>
    <row r="228" spans="1:3" ht="15" customHeight="1" x14ac:dyDescent="0.25">
      <c r="A228" s="87" t="s">
        <v>573</v>
      </c>
      <c r="B228" s="87" t="s">
        <v>574</v>
      </c>
      <c r="C228" s="87" t="s">
        <v>137</v>
      </c>
    </row>
    <row r="229" spans="1:3" ht="15" customHeight="1" x14ac:dyDescent="0.25">
      <c r="A229" s="87" t="s">
        <v>575</v>
      </c>
      <c r="B229" s="87" t="s">
        <v>576</v>
      </c>
      <c r="C229" s="87" t="s">
        <v>120</v>
      </c>
    </row>
    <row r="230" spans="1:3" ht="15" customHeight="1" x14ac:dyDescent="0.25">
      <c r="A230" s="87" t="s">
        <v>577</v>
      </c>
      <c r="B230" s="87" t="s">
        <v>578</v>
      </c>
      <c r="C230" s="87" t="s">
        <v>120</v>
      </c>
    </row>
    <row r="231" spans="1:3" ht="15" customHeight="1" x14ac:dyDescent="0.25">
      <c r="A231" s="87" t="s">
        <v>579</v>
      </c>
      <c r="B231" s="87" t="s">
        <v>580</v>
      </c>
      <c r="C231" s="87" t="s">
        <v>120</v>
      </c>
    </row>
    <row r="232" spans="1:3" ht="15" customHeight="1" x14ac:dyDescent="0.25">
      <c r="A232" s="87" t="s">
        <v>581</v>
      </c>
      <c r="B232" s="87" t="s">
        <v>582</v>
      </c>
      <c r="C232" s="87" t="s">
        <v>120</v>
      </c>
    </row>
    <row r="233" spans="1:3" ht="15" customHeight="1" x14ac:dyDescent="0.25">
      <c r="A233" s="87" t="s">
        <v>583</v>
      </c>
      <c r="B233" s="87" t="s">
        <v>584</v>
      </c>
      <c r="C233" s="87" t="s">
        <v>120</v>
      </c>
    </row>
    <row r="234" spans="1:3" ht="15" customHeight="1" x14ac:dyDescent="0.25">
      <c r="A234" s="87" t="s">
        <v>585</v>
      </c>
      <c r="B234" s="87" t="s">
        <v>586</v>
      </c>
      <c r="C234" s="87" t="s">
        <v>120</v>
      </c>
    </row>
    <row r="235" spans="1:3" ht="15" customHeight="1" x14ac:dyDescent="0.25">
      <c r="A235" s="87" t="s">
        <v>587</v>
      </c>
      <c r="B235" s="87" t="s">
        <v>588</v>
      </c>
      <c r="C235" s="87" t="s">
        <v>137</v>
      </c>
    </row>
    <row r="236" spans="1:3" ht="15" customHeight="1" x14ac:dyDescent="0.25">
      <c r="A236" s="87" t="s">
        <v>589</v>
      </c>
      <c r="B236" s="87" t="s">
        <v>590</v>
      </c>
      <c r="C236" s="87" t="s">
        <v>137</v>
      </c>
    </row>
    <row r="237" spans="1:3" ht="15" customHeight="1" x14ac:dyDescent="0.25">
      <c r="A237" s="87" t="s">
        <v>591</v>
      </c>
      <c r="B237" s="87" t="s">
        <v>592</v>
      </c>
      <c r="C237" s="87" t="s">
        <v>137</v>
      </c>
    </row>
    <row r="238" spans="1:3" ht="15" customHeight="1" x14ac:dyDescent="0.25">
      <c r="A238" s="87" t="s">
        <v>593</v>
      </c>
      <c r="B238" s="87" t="s">
        <v>594</v>
      </c>
      <c r="C238" s="87" t="s">
        <v>137</v>
      </c>
    </row>
    <row r="239" spans="1:3" ht="15" customHeight="1" x14ac:dyDescent="0.25">
      <c r="A239" s="87" t="s">
        <v>595</v>
      </c>
      <c r="B239" s="87" t="s">
        <v>596</v>
      </c>
      <c r="C239" s="87" t="s">
        <v>137</v>
      </c>
    </row>
    <row r="240" spans="1:3" ht="15" customHeight="1" x14ac:dyDescent="0.25">
      <c r="A240" s="87" t="s">
        <v>597</v>
      </c>
      <c r="B240" s="87" t="s">
        <v>598</v>
      </c>
      <c r="C240" s="87" t="s">
        <v>137</v>
      </c>
    </row>
    <row r="241" spans="1:3" ht="15" customHeight="1" x14ac:dyDescent="0.25">
      <c r="A241" s="87" t="s">
        <v>599</v>
      </c>
      <c r="B241" s="87" t="s">
        <v>600</v>
      </c>
      <c r="C241" s="87" t="s">
        <v>137</v>
      </c>
    </row>
    <row r="242" spans="1:3" ht="15" customHeight="1" x14ac:dyDescent="0.25">
      <c r="A242" s="87" t="s">
        <v>601</v>
      </c>
      <c r="B242" s="87" t="s">
        <v>602</v>
      </c>
      <c r="C242" s="87" t="s">
        <v>120</v>
      </c>
    </row>
    <row r="243" spans="1:3" ht="15" customHeight="1" x14ac:dyDescent="0.25">
      <c r="A243" s="87" t="s">
        <v>603</v>
      </c>
      <c r="B243" s="87" t="s">
        <v>604</v>
      </c>
      <c r="C243" s="87" t="s">
        <v>120</v>
      </c>
    </row>
    <row r="244" spans="1:3" ht="15" customHeight="1" x14ac:dyDescent="0.25">
      <c r="A244" s="87" t="s">
        <v>605</v>
      </c>
      <c r="B244" s="87" t="s">
        <v>606</v>
      </c>
      <c r="C244" s="87" t="s">
        <v>120</v>
      </c>
    </row>
    <row r="245" spans="1:3" ht="15" customHeight="1" x14ac:dyDescent="0.25">
      <c r="A245" s="87" t="s">
        <v>607</v>
      </c>
      <c r="B245" s="87" t="s">
        <v>608</v>
      </c>
      <c r="C245" s="87" t="s">
        <v>120</v>
      </c>
    </row>
    <row r="246" spans="1:3" ht="15" customHeight="1" x14ac:dyDescent="0.25">
      <c r="A246" s="87" t="s">
        <v>609</v>
      </c>
      <c r="B246" s="87" t="s">
        <v>610</v>
      </c>
      <c r="C246" s="87" t="s">
        <v>120</v>
      </c>
    </row>
    <row r="247" spans="1:3" ht="15" customHeight="1" x14ac:dyDescent="0.25">
      <c r="A247" s="87" t="s">
        <v>611</v>
      </c>
      <c r="B247" s="87" t="s">
        <v>612</v>
      </c>
      <c r="C247" s="87" t="s">
        <v>120</v>
      </c>
    </row>
    <row r="248" spans="1:3" ht="15" customHeight="1" x14ac:dyDescent="0.25">
      <c r="A248" s="87" t="s">
        <v>613</v>
      </c>
      <c r="B248" s="87" t="s">
        <v>614</v>
      </c>
      <c r="C248" s="87" t="s">
        <v>120</v>
      </c>
    </row>
    <row r="249" spans="1:3" ht="15" customHeight="1" x14ac:dyDescent="0.25">
      <c r="A249" s="87" t="s">
        <v>615</v>
      </c>
      <c r="B249" s="87" t="s">
        <v>616</v>
      </c>
      <c r="C249" s="87" t="s">
        <v>120</v>
      </c>
    </row>
    <row r="250" spans="1:3" ht="15" customHeight="1" x14ac:dyDescent="0.25">
      <c r="A250" s="87" t="s">
        <v>617</v>
      </c>
      <c r="B250" s="87" t="s">
        <v>618</v>
      </c>
      <c r="C250" s="87" t="s">
        <v>120</v>
      </c>
    </row>
    <row r="251" spans="1:3" ht="15" customHeight="1" x14ac:dyDescent="0.25">
      <c r="A251" s="87" t="s">
        <v>619</v>
      </c>
      <c r="B251" s="87" t="s">
        <v>620</v>
      </c>
      <c r="C251" s="87" t="s">
        <v>120</v>
      </c>
    </row>
    <row r="252" spans="1:3" ht="15" customHeight="1" x14ac:dyDescent="0.25">
      <c r="A252" s="87" t="s">
        <v>621</v>
      </c>
      <c r="B252" s="87" t="s">
        <v>622</v>
      </c>
      <c r="C252" s="87" t="s">
        <v>120</v>
      </c>
    </row>
    <row r="253" spans="1:3" ht="15" customHeight="1" x14ac:dyDescent="0.25">
      <c r="A253" s="87" t="s">
        <v>623</v>
      </c>
      <c r="B253" s="87" t="s">
        <v>624</v>
      </c>
      <c r="C253" s="87" t="s">
        <v>120</v>
      </c>
    </row>
    <row r="254" spans="1:3" ht="15" customHeight="1" x14ac:dyDescent="0.25">
      <c r="A254" s="87" t="s">
        <v>625</v>
      </c>
      <c r="B254" s="87" t="s">
        <v>626</v>
      </c>
      <c r="C254" s="87" t="s">
        <v>120</v>
      </c>
    </row>
    <row r="255" spans="1:3" ht="15" customHeight="1" x14ac:dyDescent="0.25">
      <c r="A255" s="87" t="s">
        <v>627</v>
      </c>
      <c r="B255" s="87" t="s">
        <v>628</v>
      </c>
      <c r="C255" s="87" t="s">
        <v>120</v>
      </c>
    </row>
    <row r="256" spans="1:3" ht="15" customHeight="1" x14ac:dyDescent="0.25">
      <c r="A256" s="87" t="s">
        <v>629</v>
      </c>
      <c r="B256" s="87" t="s">
        <v>630</v>
      </c>
      <c r="C256" s="87" t="s">
        <v>120</v>
      </c>
    </row>
    <row r="257" spans="1:3" ht="15" customHeight="1" x14ac:dyDescent="0.25">
      <c r="A257" s="87" t="s">
        <v>631</v>
      </c>
      <c r="B257" s="87" t="s">
        <v>632</v>
      </c>
      <c r="C257" s="87" t="s">
        <v>120</v>
      </c>
    </row>
    <row r="258" spans="1:3" ht="15" customHeight="1" x14ac:dyDescent="0.25">
      <c r="A258" s="87" t="s">
        <v>633</v>
      </c>
      <c r="B258" s="87" t="s">
        <v>634</v>
      </c>
      <c r="C258" s="87" t="s">
        <v>120</v>
      </c>
    </row>
    <row r="259" spans="1:3" ht="15" customHeight="1" x14ac:dyDescent="0.25">
      <c r="A259" s="87" t="s">
        <v>635</v>
      </c>
      <c r="B259" s="87" t="s">
        <v>636</v>
      </c>
      <c r="C259" s="87" t="s">
        <v>120</v>
      </c>
    </row>
    <row r="260" spans="1:3" ht="15" customHeight="1" x14ac:dyDescent="0.25">
      <c r="A260" s="87" t="s">
        <v>637</v>
      </c>
      <c r="B260" s="87" t="s">
        <v>638</v>
      </c>
      <c r="C260" s="87" t="s">
        <v>120</v>
      </c>
    </row>
    <row r="261" spans="1:3" ht="15" customHeight="1" x14ac:dyDescent="0.25">
      <c r="A261" s="87" t="s">
        <v>639</v>
      </c>
      <c r="B261" s="87" t="s">
        <v>640</v>
      </c>
      <c r="C261" s="87" t="s">
        <v>120</v>
      </c>
    </row>
    <row r="262" spans="1:3" ht="15" customHeight="1" x14ac:dyDescent="0.25">
      <c r="A262" s="87" t="s">
        <v>641</v>
      </c>
      <c r="B262" s="87" t="s">
        <v>642</v>
      </c>
      <c r="C262" s="87" t="s">
        <v>120</v>
      </c>
    </row>
    <row r="263" spans="1:3" ht="15" customHeight="1" x14ac:dyDescent="0.25">
      <c r="A263" s="87" t="s">
        <v>643</v>
      </c>
      <c r="B263" s="87" t="s">
        <v>644</v>
      </c>
      <c r="C263" s="87" t="s">
        <v>120</v>
      </c>
    </row>
    <row r="264" spans="1:3" ht="15" customHeight="1" x14ac:dyDescent="0.25">
      <c r="A264" s="87" t="s">
        <v>645</v>
      </c>
      <c r="B264" s="87" t="s">
        <v>646</v>
      </c>
      <c r="C264" s="87" t="s">
        <v>120</v>
      </c>
    </row>
    <row r="265" spans="1:3" ht="15" customHeight="1" x14ac:dyDescent="0.25">
      <c r="A265" s="87" t="s">
        <v>647</v>
      </c>
      <c r="B265" s="87" t="s">
        <v>648</v>
      </c>
      <c r="C265" s="87" t="s">
        <v>120</v>
      </c>
    </row>
    <row r="266" spans="1:3" ht="15" customHeight="1" x14ac:dyDescent="0.25">
      <c r="A266" s="87" t="s">
        <v>649</v>
      </c>
      <c r="B266" s="87" t="s">
        <v>650</v>
      </c>
      <c r="C266" s="87" t="s">
        <v>120</v>
      </c>
    </row>
    <row r="267" spans="1:3" ht="15" customHeight="1" x14ac:dyDescent="0.25">
      <c r="A267" s="87" t="s">
        <v>651</v>
      </c>
      <c r="B267" s="87" t="s">
        <v>652</v>
      </c>
      <c r="C267" s="87" t="s">
        <v>137</v>
      </c>
    </row>
    <row r="268" spans="1:3" ht="15" customHeight="1" x14ac:dyDescent="0.25">
      <c r="A268" s="87" t="s">
        <v>653</v>
      </c>
      <c r="B268" s="87" t="s">
        <v>654</v>
      </c>
      <c r="C268" s="87" t="s">
        <v>120</v>
      </c>
    </row>
    <row r="269" spans="1:3" ht="15" customHeight="1" x14ac:dyDescent="0.25">
      <c r="A269" s="87" t="s">
        <v>655</v>
      </c>
      <c r="B269" s="87" t="s">
        <v>656</v>
      </c>
      <c r="C269" s="87" t="s">
        <v>120</v>
      </c>
    </row>
    <row r="270" spans="1:3" ht="15" customHeight="1" x14ac:dyDescent="0.25">
      <c r="A270" s="87" t="s">
        <v>657</v>
      </c>
      <c r="B270" s="87" t="s">
        <v>658</v>
      </c>
      <c r="C270" s="87" t="s">
        <v>120</v>
      </c>
    </row>
    <row r="271" spans="1:3" ht="15" customHeight="1" x14ac:dyDescent="0.25">
      <c r="A271" s="87" t="s">
        <v>659</v>
      </c>
      <c r="B271" s="87" t="s">
        <v>660</v>
      </c>
      <c r="C271" s="87" t="s">
        <v>120</v>
      </c>
    </row>
    <row r="272" spans="1:3" ht="15" customHeight="1" x14ac:dyDescent="0.25">
      <c r="A272" s="87" t="s">
        <v>661</v>
      </c>
      <c r="B272" s="87" t="s">
        <v>662</v>
      </c>
      <c r="C272" s="87" t="s">
        <v>137</v>
      </c>
    </row>
    <row r="273" spans="1:3" ht="15" customHeight="1" x14ac:dyDescent="0.25">
      <c r="A273" s="87" t="s">
        <v>663</v>
      </c>
      <c r="B273" s="87" t="s">
        <v>664</v>
      </c>
      <c r="C273" s="87" t="s">
        <v>120</v>
      </c>
    </row>
    <row r="274" spans="1:3" ht="15" customHeight="1" x14ac:dyDescent="0.25">
      <c r="A274" s="87" t="s">
        <v>665</v>
      </c>
      <c r="B274" s="87" t="s">
        <v>666</v>
      </c>
      <c r="C274" s="87" t="s">
        <v>120</v>
      </c>
    </row>
    <row r="275" spans="1:3" ht="15" customHeight="1" x14ac:dyDescent="0.25">
      <c r="A275" s="87" t="s">
        <v>667</v>
      </c>
      <c r="B275" s="87" t="s">
        <v>668</v>
      </c>
      <c r="C275" s="87" t="s">
        <v>120</v>
      </c>
    </row>
    <row r="276" spans="1:3" ht="15" customHeight="1" x14ac:dyDescent="0.25">
      <c r="A276" s="87" t="s">
        <v>669</v>
      </c>
      <c r="B276" s="87" t="s">
        <v>670</v>
      </c>
      <c r="C276" s="87" t="s">
        <v>120</v>
      </c>
    </row>
    <row r="277" spans="1:3" ht="15" customHeight="1" x14ac:dyDescent="0.25">
      <c r="A277" s="87" t="s">
        <v>671</v>
      </c>
      <c r="B277" s="87" t="s">
        <v>672</v>
      </c>
      <c r="C277" s="87" t="s">
        <v>120</v>
      </c>
    </row>
    <row r="278" spans="1:3" ht="15" customHeight="1" x14ac:dyDescent="0.25">
      <c r="A278" s="87" t="s">
        <v>673</v>
      </c>
      <c r="B278" s="87" t="s">
        <v>674</v>
      </c>
      <c r="C278" s="87" t="s">
        <v>120</v>
      </c>
    </row>
    <row r="279" spans="1:3" ht="15" customHeight="1" x14ac:dyDescent="0.25">
      <c r="A279" s="87" t="s">
        <v>675</v>
      </c>
      <c r="B279" s="87" t="s">
        <v>676</v>
      </c>
      <c r="C279" s="87" t="s">
        <v>120</v>
      </c>
    </row>
    <row r="280" spans="1:3" ht="15" customHeight="1" x14ac:dyDescent="0.25">
      <c r="A280" s="87" t="s">
        <v>677</v>
      </c>
      <c r="B280" s="87" t="s">
        <v>678</v>
      </c>
      <c r="C280" s="87" t="s">
        <v>137</v>
      </c>
    </row>
    <row r="281" spans="1:3" ht="15" customHeight="1" x14ac:dyDescent="0.25">
      <c r="A281" s="87" t="s">
        <v>679</v>
      </c>
      <c r="B281" s="87" t="s">
        <v>680</v>
      </c>
      <c r="C281" s="87" t="s">
        <v>120</v>
      </c>
    </row>
    <row r="282" spans="1:3" ht="15" customHeight="1" x14ac:dyDescent="0.25">
      <c r="A282" s="87" t="s">
        <v>681</v>
      </c>
      <c r="B282" s="87" t="s">
        <v>682</v>
      </c>
      <c r="C282" s="87" t="s">
        <v>137</v>
      </c>
    </row>
    <row r="283" spans="1:3" ht="15" customHeight="1" x14ac:dyDescent="0.25">
      <c r="A283" s="87" t="s">
        <v>683</v>
      </c>
      <c r="B283" s="87" t="s">
        <v>684</v>
      </c>
      <c r="C283" s="87" t="s">
        <v>137</v>
      </c>
    </row>
    <row r="284" spans="1:3" ht="15" customHeight="1" x14ac:dyDescent="0.25">
      <c r="A284" s="87" t="s">
        <v>685</v>
      </c>
      <c r="B284" s="87" t="s">
        <v>686</v>
      </c>
      <c r="C284" s="87" t="s">
        <v>137</v>
      </c>
    </row>
    <row r="285" spans="1:3" ht="15" customHeight="1" x14ac:dyDescent="0.25">
      <c r="A285" s="87" t="s">
        <v>687</v>
      </c>
      <c r="B285" s="87" t="s">
        <v>688</v>
      </c>
      <c r="C285" s="87" t="s">
        <v>137</v>
      </c>
    </row>
    <row r="286" spans="1:3" ht="15" customHeight="1" x14ac:dyDescent="0.25">
      <c r="A286" s="87" t="s">
        <v>689</v>
      </c>
      <c r="B286" s="87" t="s">
        <v>690</v>
      </c>
      <c r="C286" s="87" t="s">
        <v>120</v>
      </c>
    </row>
    <row r="287" spans="1:3" ht="15" customHeight="1" x14ac:dyDescent="0.25">
      <c r="A287" s="87" t="s">
        <v>691</v>
      </c>
      <c r="B287" s="87" t="s">
        <v>692</v>
      </c>
      <c r="C287" s="87" t="s">
        <v>137</v>
      </c>
    </row>
    <row r="288" spans="1:3" ht="15" customHeight="1" x14ac:dyDescent="0.25">
      <c r="A288" s="87" t="s">
        <v>693</v>
      </c>
      <c r="B288" s="87" t="s">
        <v>694</v>
      </c>
      <c r="C288" s="87" t="s">
        <v>137</v>
      </c>
    </row>
    <row r="289" spans="1:3" ht="15" customHeight="1" x14ac:dyDescent="0.25">
      <c r="A289" s="87" t="s">
        <v>695</v>
      </c>
      <c r="B289" s="87" t="s">
        <v>696</v>
      </c>
      <c r="C289" s="87" t="s">
        <v>137</v>
      </c>
    </row>
    <row r="290" spans="1:3" ht="15" customHeight="1" x14ac:dyDescent="0.25">
      <c r="A290" s="87" t="s">
        <v>697</v>
      </c>
      <c r="B290" s="87" t="s">
        <v>698</v>
      </c>
      <c r="C290" s="87" t="s">
        <v>137</v>
      </c>
    </row>
    <row r="291" spans="1:3" ht="15" customHeight="1" x14ac:dyDescent="0.25">
      <c r="A291" s="87" t="s">
        <v>699</v>
      </c>
      <c r="B291" s="87" t="s">
        <v>700</v>
      </c>
      <c r="C291" s="87" t="s">
        <v>120</v>
      </c>
    </row>
    <row r="292" spans="1:3" ht="15" customHeight="1" x14ac:dyDescent="0.25">
      <c r="A292" s="87" t="s">
        <v>701</v>
      </c>
      <c r="B292" s="87" t="s">
        <v>702</v>
      </c>
      <c r="C292" s="87" t="s">
        <v>120</v>
      </c>
    </row>
    <row r="293" spans="1:3" ht="15" customHeight="1" x14ac:dyDescent="0.25">
      <c r="A293" s="87" t="s">
        <v>703</v>
      </c>
      <c r="B293" s="87" t="s">
        <v>704</v>
      </c>
      <c r="C293" s="87" t="s">
        <v>120</v>
      </c>
    </row>
    <row r="294" spans="1:3" ht="15" customHeight="1" x14ac:dyDescent="0.25">
      <c r="A294" s="87" t="s">
        <v>705</v>
      </c>
      <c r="B294" s="87" t="s">
        <v>706</v>
      </c>
      <c r="C294" s="87" t="s">
        <v>120</v>
      </c>
    </row>
    <row r="295" spans="1:3" ht="15" customHeight="1" x14ac:dyDescent="0.25">
      <c r="A295" s="87" t="s">
        <v>707</v>
      </c>
      <c r="B295" s="87" t="s">
        <v>708</v>
      </c>
      <c r="C295" s="87" t="s">
        <v>120</v>
      </c>
    </row>
    <row r="296" spans="1:3" ht="15" customHeight="1" x14ac:dyDescent="0.25">
      <c r="A296" s="87" t="s">
        <v>709</v>
      </c>
      <c r="B296" s="87" t="s">
        <v>710</v>
      </c>
      <c r="C296" s="87" t="s">
        <v>120</v>
      </c>
    </row>
    <row r="297" spans="1:3" ht="15" customHeight="1" x14ac:dyDescent="0.25">
      <c r="A297" s="87" t="s">
        <v>711</v>
      </c>
      <c r="B297" s="87" t="s">
        <v>712</v>
      </c>
      <c r="C297" s="87" t="s">
        <v>120</v>
      </c>
    </row>
    <row r="298" spans="1:3" ht="15" customHeight="1" x14ac:dyDescent="0.25">
      <c r="A298" s="87" t="s">
        <v>713</v>
      </c>
      <c r="B298" s="87" t="s">
        <v>714</v>
      </c>
      <c r="C298" s="87" t="s">
        <v>137</v>
      </c>
    </row>
    <row r="299" spans="1:3" ht="15" customHeight="1" x14ac:dyDescent="0.25">
      <c r="A299" s="87" t="s">
        <v>715</v>
      </c>
      <c r="B299" s="87" t="s">
        <v>716</v>
      </c>
      <c r="C299" s="87" t="s">
        <v>120</v>
      </c>
    </row>
    <row r="300" spans="1:3" ht="15" customHeight="1" x14ac:dyDescent="0.25">
      <c r="A300" s="87" t="s">
        <v>717</v>
      </c>
      <c r="B300" s="87" t="s">
        <v>718</v>
      </c>
      <c r="C300" s="87" t="s">
        <v>120</v>
      </c>
    </row>
    <row r="301" spans="1:3" ht="15" customHeight="1" x14ac:dyDescent="0.25">
      <c r="A301" s="87" t="s">
        <v>719</v>
      </c>
      <c r="B301" s="87" t="s">
        <v>720</v>
      </c>
      <c r="C301" s="87" t="s">
        <v>120</v>
      </c>
    </row>
    <row r="302" spans="1:3" ht="15" customHeight="1" x14ac:dyDescent="0.25">
      <c r="A302" s="87" t="s">
        <v>721</v>
      </c>
      <c r="B302" s="87" t="s">
        <v>722</v>
      </c>
      <c r="C302" s="87" t="s">
        <v>120</v>
      </c>
    </row>
    <row r="303" spans="1:3" ht="15" customHeight="1" x14ac:dyDescent="0.25">
      <c r="A303" s="87" t="s">
        <v>723</v>
      </c>
      <c r="B303" s="87" t="s">
        <v>724</v>
      </c>
      <c r="C303" s="87" t="s">
        <v>120</v>
      </c>
    </row>
    <row r="304" spans="1:3" ht="15" customHeight="1" x14ac:dyDescent="0.25">
      <c r="A304" s="87" t="s">
        <v>725</v>
      </c>
      <c r="B304" s="87" t="s">
        <v>726</v>
      </c>
      <c r="C304" s="87" t="s">
        <v>120</v>
      </c>
    </row>
    <row r="305" spans="1:3" ht="15" customHeight="1" x14ac:dyDescent="0.25">
      <c r="A305" s="87" t="s">
        <v>727</v>
      </c>
      <c r="B305" s="87" t="s">
        <v>728</v>
      </c>
      <c r="C305" s="87" t="s">
        <v>120</v>
      </c>
    </row>
    <row r="306" spans="1:3" ht="15" customHeight="1" x14ac:dyDescent="0.25">
      <c r="A306" s="87" t="s">
        <v>729</v>
      </c>
      <c r="B306" s="87" t="s">
        <v>730</v>
      </c>
      <c r="C306" s="87" t="s">
        <v>120</v>
      </c>
    </row>
    <row r="307" spans="1:3" ht="15" customHeight="1" x14ac:dyDescent="0.25">
      <c r="A307" s="87" t="s">
        <v>731</v>
      </c>
      <c r="B307" s="87" t="s">
        <v>732</v>
      </c>
      <c r="C307" s="87" t="s">
        <v>120</v>
      </c>
    </row>
    <row r="308" spans="1:3" ht="15" customHeight="1" x14ac:dyDescent="0.25">
      <c r="A308" s="87" t="s">
        <v>733</v>
      </c>
      <c r="B308" s="87" t="s">
        <v>734</v>
      </c>
      <c r="C308" s="87" t="s">
        <v>120</v>
      </c>
    </row>
    <row r="309" spans="1:3" ht="15" customHeight="1" x14ac:dyDescent="0.25">
      <c r="A309" s="87" t="s">
        <v>735</v>
      </c>
      <c r="B309" s="87" t="s">
        <v>736</v>
      </c>
      <c r="C309" s="87" t="s">
        <v>120</v>
      </c>
    </row>
    <row r="310" spans="1:3" ht="15" customHeight="1" x14ac:dyDescent="0.25">
      <c r="A310" s="87" t="s">
        <v>737</v>
      </c>
      <c r="B310" s="87" t="s">
        <v>738</v>
      </c>
      <c r="C310" s="87" t="s">
        <v>120</v>
      </c>
    </row>
    <row r="311" spans="1:3" ht="15" customHeight="1" x14ac:dyDescent="0.25">
      <c r="A311" s="87" t="s">
        <v>739</v>
      </c>
      <c r="B311" s="87" t="s">
        <v>740</v>
      </c>
      <c r="C311" s="87" t="s">
        <v>120</v>
      </c>
    </row>
    <row r="312" spans="1:3" ht="15" customHeight="1" x14ac:dyDescent="0.25">
      <c r="A312" s="87" t="s">
        <v>741</v>
      </c>
      <c r="B312" s="87" t="s">
        <v>742</v>
      </c>
      <c r="C312" s="87" t="s">
        <v>120</v>
      </c>
    </row>
    <row r="313" spans="1:3" ht="15" customHeight="1" x14ac:dyDescent="0.25">
      <c r="A313" s="87" t="s">
        <v>743</v>
      </c>
      <c r="B313" s="87" t="s">
        <v>744</v>
      </c>
      <c r="C313" s="87" t="s">
        <v>120</v>
      </c>
    </row>
    <row r="314" spans="1:3" ht="15" customHeight="1" x14ac:dyDescent="0.25">
      <c r="A314" s="87" t="s">
        <v>745</v>
      </c>
      <c r="B314" s="87" t="s">
        <v>746</v>
      </c>
      <c r="C314" s="87" t="s">
        <v>120</v>
      </c>
    </row>
    <row r="315" spans="1:3" ht="15" customHeight="1" x14ac:dyDescent="0.25">
      <c r="A315" s="87" t="s">
        <v>747</v>
      </c>
      <c r="B315" s="87" t="s">
        <v>748</v>
      </c>
      <c r="C315" s="87" t="s">
        <v>120</v>
      </c>
    </row>
    <row r="316" spans="1:3" ht="15" customHeight="1" x14ac:dyDescent="0.25">
      <c r="A316" s="87" t="s">
        <v>749</v>
      </c>
      <c r="B316" s="87" t="s">
        <v>750</v>
      </c>
      <c r="C316" s="87" t="s">
        <v>120</v>
      </c>
    </row>
    <row r="317" spans="1:3" ht="15" customHeight="1" x14ac:dyDescent="0.25">
      <c r="A317" s="87" t="s">
        <v>751</v>
      </c>
      <c r="B317" s="87" t="s">
        <v>752</v>
      </c>
      <c r="C317" s="87" t="s">
        <v>120</v>
      </c>
    </row>
    <row r="318" spans="1:3" ht="15" customHeight="1" x14ac:dyDescent="0.25">
      <c r="A318" s="87" t="s">
        <v>753</v>
      </c>
      <c r="B318" s="87" t="s">
        <v>754</v>
      </c>
      <c r="C318" s="87" t="s">
        <v>120</v>
      </c>
    </row>
    <row r="319" spans="1:3" ht="15" customHeight="1" x14ac:dyDescent="0.25">
      <c r="A319" s="87" t="s">
        <v>755</v>
      </c>
      <c r="B319" s="87" t="s">
        <v>756</v>
      </c>
      <c r="C319" s="87" t="s">
        <v>120</v>
      </c>
    </row>
    <row r="320" spans="1:3" ht="15" customHeight="1" x14ac:dyDescent="0.25">
      <c r="A320" s="87" t="s">
        <v>757</v>
      </c>
      <c r="B320" s="87" t="s">
        <v>758</v>
      </c>
      <c r="C320" s="87" t="s">
        <v>120</v>
      </c>
    </row>
    <row r="321" spans="1:3" ht="15" customHeight="1" x14ac:dyDescent="0.25">
      <c r="A321" s="87" t="s">
        <v>759</v>
      </c>
      <c r="B321" s="87" t="s">
        <v>760</v>
      </c>
      <c r="C321" s="87" t="s">
        <v>120</v>
      </c>
    </row>
    <row r="322" spans="1:3" ht="15" customHeight="1" x14ac:dyDescent="0.25">
      <c r="A322" s="87" t="s">
        <v>761</v>
      </c>
      <c r="B322" s="87" t="s">
        <v>762</v>
      </c>
      <c r="C322" s="87" t="s">
        <v>120</v>
      </c>
    </row>
    <row r="323" spans="1:3" ht="15" customHeight="1" x14ac:dyDescent="0.25">
      <c r="A323" s="87" t="s">
        <v>763</v>
      </c>
      <c r="B323" s="87" t="s">
        <v>764</v>
      </c>
      <c r="C323" s="87" t="s">
        <v>120</v>
      </c>
    </row>
    <row r="324" spans="1:3" ht="15" customHeight="1" x14ac:dyDescent="0.25">
      <c r="A324" s="87" t="s">
        <v>765</v>
      </c>
      <c r="B324" s="87" t="s">
        <v>766</v>
      </c>
      <c r="C324" s="87" t="s">
        <v>120</v>
      </c>
    </row>
    <row r="325" spans="1:3" ht="15" customHeight="1" x14ac:dyDescent="0.25">
      <c r="A325" s="87" t="s">
        <v>767</v>
      </c>
      <c r="B325" s="87" t="s">
        <v>768</v>
      </c>
      <c r="C325" s="87" t="s">
        <v>137</v>
      </c>
    </row>
    <row r="326" spans="1:3" ht="15" customHeight="1" x14ac:dyDescent="0.25">
      <c r="A326" s="87" t="s">
        <v>769</v>
      </c>
      <c r="B326" s="87" t="s">
        <v>770</v>
      </c>
      <c r="C326" s="87" t="s">
        <v>137</v>
      </c>
    </row>
    <row r="327" spans="1:3" ht="15" customHeight="1" x14ac:dyDescent="0.25">
      <c r="A327" s="87" t="s">
        <v>771</v>
      </c>
      <c r="B327" s="87" t="s">
        <v>772</v>
      </c>
      <c r="C327" s="87" t="s">
        <v>137</v>
      </c>
    </row>
    <row r="328" spans="1:3" ht="15" customHeight="1" x14ac:dyDescent="0.25">
      <c r="A328" s="87" t="s">
        <v>773</v>
      </c>
      <c r="B328" s="87" t="s">
        <v>774</v>
      </c>
      <c r="C328" s="87" t="s">
        <v>137</v>
      </c>
    </row>
    <row r="329" spans="1:3" ht="15" customHeight="1" x14ac:dyDescent="0.25">
      <c r="A329" s="87" t="s">
        <v>775</v>
      </c>
      <c r="B329" s="87" t="s">
        <v>776</v>
      </c>
      <c r="C329" s="87" t="s">
        <v>137</v>
      </c>
    </row>
    <row r="330" spans="1:3" ht="15" customHeight="1" x14ac:dyDescent="0.25">
      <c r="A330" s="87" t="s">
        <v>777</v>
      </c>
      <c r="B330" s="87" t="s">
        <v>778</v>
      </c>
      <c r="C330" s="87" t="s">
        <v>137</v>
      </c>
    </row>
    <row r="331" spans="1:3" ht="15" customHeight="1" x14ac:dyDescent="0.25">
      <c r="A331" s="87" t="s">
        <v>779</v>
      </c>
      <c r="B331" s="87" t="s">
        <v>780</v>
      </c>
      <c r="C331" s="87" t="s">
        <v>137</v>
      </c>
    </row>
    <row r="332" spans="1:3" ht="15" customHeight="1" x14ac:dyDescent="0.25">
      <c r="A332" s="87" t="s">
        <v>781</v>
      </c>
      <c r="B332" s="87" t="s">
        <v>782</v>
      </c>
      <c r="C332" s="87" t="s">
        <v>137</v>
      </c>
    </row>
    <row r="333" spans="1:3" ht="15" customHeight="1" x14ac:dyDescent="0.25">
      <c r="A333" s="87" t="s">
        <v>783</v>
      </c>
      <c r="B333" s="87" t="s">
        <v>784</v>
      </c>
      <c r="C333" s="87" t="s">
        <v>137</v>
      </c>
    </row>
    <row r="334" spans="1:3" ht="15" customHeight="1" x14ac:dyDescent="0.25">
      <c r="A334" s="87" t="s">
        <v>785</v>
      </c>
      <c r="B334" s="87" t="s">
        <v>786</v>
      </c>
      <c r="C334" s="87" t="s">
        <v>137</v>
      </c>
    </row>
    <row r="335" spans="1:3" ht="15" customHeight="1" x14ac:dyDescent="0.25">
      <c r="A335" s="87" t="s">
        <v>787</v>
      </c>
      <c r="B335" s="87" t="s">
        <v>788</v>
      </c>
      <c r="C335" s="87" t="s">
        <v>137</v>
      </c>
    </row>
    <row r="336" spans="1:3" ht="15" customHeight="1" x14ac:dyDescent="0.25">
      <c r="A336" s="87" t="s">
        <v>789</v>
      </c>
      <c r="B336" s="87" t="s">
        <v>790</v>
      </c>
      <c r="C336" s="87" t="s">
        <v>137</v>
      </c>
    </row>
    <row r="337" spans="1:3" ht="15" customHeight="1" x14ac:dyDescent="0.25">
      <c r="A337" s="87" t="s">
        <v>791</v>
      </c>
      <c r="B337" s="87" t="s">
        <v>792</v>
      </c>
      <c r="C337" s="87" t="s">
        <v>137</v>
      </c>
    </row>
    <row r="338" spans="1:3" ht="15" customHeight="1" x14ac:dyDescent="0.25">
      <c r="A338" s="87" t="s">
        <v>793</v>
      </c>
      <c r="B338" s="87" t="s">
        <v>794</v>
      </c>
      <c r="C338" s="87" t="s">
        <v>137</v>
      </c>
    </row>
    <row r="339" spans="1:3" ht="15" customHeight="1" x14ac:dyDescent="0.25">
      <c r="A339" s="87" t="s">
        <v>795</v>
      </c>
      <c r="B339" s="87" t="s">
        <v>796</v>
      </c>
      <c r="C339" s="87" t="s">
        <v>137</v>
      </c>
    </row>
    <row r="340" spans="1:3" ht="15" customHeight="1" x14ac:dyDescent="0.25">
      <c r="A340" s="87" t="s">
        <v>797</v>
      </c>
      <c r="B340" s="87" t="s">
        <v>798</v>
      </c>
      <c r="C340" s="87" t="s">
        <v>137</v>
      </c>
    </row>
    <row r="341" spans="1:3" ht="15" customHeight="1" x14ac:dyDescent="0.25">
      <c r="A341" s="87" t="s">
        <v>799</v>
      </c>
      <c r="B341" s="87" t="s">
        <v>800</v>
      </c>
      <c r="C341" s="87" t="s">
        <v>120</v>
      </c>
    </row>
    <row r="342" spans="1:3" ht="15" customHeight="1" x14ac:dyDescent="0.25">
      <c r="A342" s="87" t="s">
        <v>801</v>
      </c>
      <c r="B342" s="87" t="s">
        <v>802</v>
      </c>
      <c r="C342" s="87" t="s">
        <v>120</v>
      </c>
    </row>
    <row r="343" spans="1:3" ht="15" customHeight="1" x14ac:dyDescent="0.25">
      <c r="A343" s="87" t="s">
        <v>803</v>
      </c>
      <c r="B343" s="87" t="s">
        <v>804</v>
      </c>
      <c r="C343" s="87" t="s">
        <v>120</v>
      </c>
    </row>
    <row r="344" spans="1:3" ht="15" customHeight="1" x14ac:dyDescent="0.25">
      <c r="A344" s="87" t="s">
        <v>805</v>
      </c>
      <c r="B344" s="87" t="s">
        <v>806</v>
      </c>
      <c r="C344" s="87" t="s">
        <v>120</v>
      </c>
    </row>
    <row r="345" spans="1:3" ht="15" customHeight="1" x14ac:dyDescent="0.25">
      <c r="A345" s="87" t="s">
        <v>807</v>
      </c>
      <c r="B345" s="87" t="s">
        <v>808</v>
      </c>
      <c r="C345" s="87" t="s">
        <v>120</v>
      </c>
    </row>
    <row r="346" spans="1:3" ht="15" customHeight="1" x14ac:dyDescent="0.25">
      <c r="A346" s="87" t="s">
        <v>809</v>
      </c>
      <c r="B346" s="87" t="s">
        <v>810</v>
      </c>
      <c r="C346" s="87" t="s">
        <v>120</v>
      </c>
    </row>
    <row r="347" spans="1:3" ht="15" customHeight="1" x14ac:dyDescent="0.25">
      <c r="A347" s="87" t="s">
        <v>811</v>
      </c>
      <c r="B347" s="87" t="s">
        <v>812</v>
      </c>
      <c r="C347" s="87" t="s">
        <v>137</v>
      </c>
    </row>
    <row r="348" spans="1:3" ht="15" customHeight="1" x14ac:dyDescent="0.25">
      <c r="A348" s="87" t="s">
        <v>813</v>
      </c>
      <c r="B348" s="87" t="s">
        <v>814</v>
      </c>
      <c r="C348" s="87" t="s">
        <v>120</v>
      </c>
    </row>
    <row r="349" spans="1:3" ht="15" customHeight="1" x14ac:dyDescent="0.25">
      <c r="A349" s="87" t="s">
        <v>815</v>
      </c>
      <c r="B349" s="87" t="s">
        <v>816</v>
      </c>
      <c r="C349" s="87" t="s">
        <v>120</v>
      </c>
    </row>
    <row r="350" spans="1:3" ht="15" customHeight="1" x14ac:dyDescent="0.25">
      <c r="A350" s="87" t="s">
        <v>817</v>
      </c>
      <c r="B350" s="87" t="s">
        <v>818</v>
      </c>
      <c r="C350" s="87" t="s">
        <v>120</v>
      </c>
    </row>
    <row r="351" spans="1:3" ht="15" customHeight="1" x14ac:dyDescent="0.25">
      <c r="A351" s="87" t="s">
        <v>819</v>
      </c>
      <c r="B351" s="87" t="s">
        <v>820</v>
      </c>
      <c r="C351" s="87" t="s">
        <v>120</v>
      </c>
    </row>
    <row r="352" spans="1:3" ht="15" customHeight="1" x14ac:dyDescent="0.25">
      <c r="A352" s="87" t="s">
        <v>821</v>
      </c>
      <c r="B352" s="87" t="s">
        <v>822</v>
      </c>
      <c r="C352" s="87" t="s">
        <v>120</v>
      </c>
    </row>
    <row r="353" spans="1:3" ht="15" customHeight="1" x14ac:dyDescent="0.25">
      <c r="A353" s="87" t="s">
        <v>823</v>
      </c>
      <c r="B353" s="87" t="s">
        <v>824</v>
      </c>
      <c r="C353" s="87" t="s">
        <v>137</v>
      </c>
    </row>
    <row r="354" spans="1:3" ht="15" customHeight="1" x14ac:dyDescent="0.25">
      <c r="A354" s="87" t="s">
        <v>825</v>
      </c>
      <c r="B354" s="87" t="s">
        <v>826</v>
      </c>
      <c r="C354" s="87" t="s">
        <v>120</v>
      </c>
    </row>
    <row r="355" spans="1:3" ht="15" customHeight="1" x14ac:dyDescent="0.25">
      <c r="A355" s="87" t="s">
        <v>827</v>
      </c>
      <c r="B355" s="87" t="s">
        <v>828</v>
      </c>
      <c r="C355" s="87" t="s">
        <v>120</v>
      </c>
    </row>
    <row r="356" spans="1:3" ht="15" customHeight="1" x14ac:dyDescent="0.25">
      <c r="A356" s="87" t="s">
        <v>829</v>
      </c>
      <c r="B356" s="87" t="s">
        <v>830</v>
      </c>
      <c r="C356" s="87" t="s">
        <v>120</v>
      </c>
    </row>
    <row r="357" spans="1:3" ht="15" customHeight="1" x14ac:dyDescent="0.25">
      <c r="A357" s="87" t="s">
        <v>831</v>
      </c>
      <c r="B357" s="87" t="s">
        <v>832</v>
      </c>
      <c r="C357" s="87" t="s">
        <v>120</v>
      </c>
    </row>
    <row r="358" spans="1:3" ht="15" customHeight="1" x14ac:dyDescent="0.25">
      <c r="A358" s="87" t="s">
        <v>833</v>
      </c>
      <c r="B358" s="87" t="s">
        <v>834</v>
      </c>
      <c r="C358" s="87" t="s">
        <v>120</v>
      </c>
    </row>
    <row r="359" spans="1:3" ht="15" customHeight="1" x14ac:dyDescent="0.25">
      <c r="A359" s="87" t="s">
        <v>835</v>
      </c>
      <c r="B359" s="87" t="s">
        <v>836</v>
      </c>
      <c r="C359" s="87" t="s">
        <v>120</v>
      </c>
    </row>
    <row r="360" spans="1:3" ht="15" customHeight="1" x14ac:dyDescent="0.25">
      <c r="A360" s="87" t="s">
        <v>837</v>
      </c>
      <c r="B360" s="87" t="s">
        <v>838</v>
      </c>
      <c r="C360" s="87" t="s">
        <v>120</v>
      </c>
    </row>
    <row r="361" spans="1:3" ht="15" customHeight="1" x14ac:dyDescent="0.25">
      <c r="A361" s="87" t="s">
        <v>839</v>
      </c>
      <c r="B361" s="87" t="s">
        <v>840</v>
      </c>
      <c r="C361" s="87" t="s">
        <v>120</v>
      </c>
    </row>
    <row r="362" spans="1:3" ht="15" customHeight="1" x14ac:dyDescent="0.25">
      <c r="A362" s="87" t="s">
        <v>841</v>
      </c>
      <c r="B362" s="87" t="s">
        <v>842</v>
      </c>
      <c r="C362" s="87" t="s">
        <v>120</v>
      </c>
    </row>
    <row r="363" spans="1:3" ht="15" customHeight="1" x14ac:dyDescent="0.25">
      <c r="A363" s="87" t="s">
        <v>843</v>
      </c>
      <c r="B363" s="87" t="s">
        <v>844</v>
      </c>
      <c r="C363" s="87" t="s">
        <v>120</v>
      </c>
    </row>
    <row r="364" spans="1:3" ht="15" customHeight="1" x14ac:dyDescent="0.25">
      <c r="A364" s="87" t="s">
        <v>845</v>
      </c>
      <c r="B364" s="87" t="s">
        <v>846</v>
      </c>
      <c r="C364" s="87" t="s">
        <v>120</v>
      </c>
    </row>
    <row r="365" spans="1:3" ht="15" customHeight="1" x14ac:dyDescent="0.25">
      <c r="A365" s="87" t="s">
        <v>847</v>
      </c>
      <c r="B365" s="87" t="s">
        <v>848</v>
      </c>
      <c r="C365" s="87" t="s">
        <v>120</v>
      </c>
    </row>
    <row r="366" spans="1:3" ht="15" customHeight="1" x14ac:dyDescent="0.25">
      <c r="A366" s="87" t="s">
        <v>849</v>
      </c>
      <c r="B366" s="87" t="s">
        <v>850</v>
      </c>
      <c r="C366" s="87" t="s">
        <v>120</v>
      </c>
    </row>
    <row r="367" spans="1:3" ht="15" customHeight="1" x14ac:dyDescent="0.25">
      <c r="A367" s="87" t="s">
        <v>851</v>
      </c>
      <c r="B367" s="87" t="s">
        <v>852</v>
      </c>
      <c r="C367" s="87" t="s">
        <v>120</v>
      </c>
    </row>
    <row r="368" spans="1:3" ht="15" customHeight="1" x14ac:dyDescent="0.25">
      <c r="A368" s="87" t="s">
        <v>853</v>
      </c>
      <c r="B368" s="87" t="s">
        <v>854</v>
      </c>
      <c r="C368" s="87" t="s">
        <v>120</v>
      </c>
    </row>
    <row r="369" spans="1:3" ht="15" customHeight="1" x14ac:dyDescent="0.25">
      <c r="A369" s="87" t="s">
        <v>855</v>
      </c>
      <c r="B369" s="87" t="s">
        <v>856</v>
      </c>
      <c r="C369" s="87" t="s">
        <v>120</v>
      </c>
    </row>
    <row r="370" spans="1:3" ht="15" customHeight="1" x14ac:dyDescent="0.25">
      <c r="A370" s="87" t="s">
        <v>857</v>
      </c>
      <c r="B370" s="87" t="s">
        <v>858</v>
      </c>
      <c r="C370" s="87" t="s">
        <v>120</v>
      </c>
    </row>
    <row r="371" spans="1:3" ht="15" customHeight="1" x14ac:dyDescent="0.25">
      <c r="A371" s="87" t="s">
        <v>859</v>
      </c>
      <c r="B371" s="87" t="s">
        <v>860</v>
      </c>
      <c r="C371" s="87" t="s">
        <v>120</v>
      </c>
    </row>
    <row r="372" spans="1:3" ht="15" customHeight="1" x14ac:dyDescent="0.25">
      <c r="A372" s="87" t="s">
        <v>861</v>
      </c>
      <c r="B372" s="87" t="s">
        <v>862</v>
      </c>
      <c r="C372" s="87" t="s">
        <v>120</v>
      </c>
    </row>
    <row r="373" spans="1:3" ht="15" customHeight="1" x14ac:dyDescent="0.25">
      <c r="A373" s="87" t="s">
        <v>863</v>
      </c>
      <c r="B373" s="87" t="s">
        <v>864</v>
      </c>
      <c r="C373" s="87" t="s">
        <v>120</v>
      </c>
    </row>
    <row r="374" spans="1:3" ht="15" customHeight="1" x14ac:dyDescent="0.25">
      <c r="A374" s="87" t="s">
        <v>865</v>
      </c>
      <c r="B374" s="87" t="s">
        <v>866</v>
      </c>
      <c r="C374" s="87" t="s">
        <v>120</v>
      </c>
    </row>
    <row r="375" spans="1:3" ht="15" customHeight="1" x14ac:dyDescent="0.25">
      <c r="A375" s="87" t="s">
        <v>867</v>
      </c>
      <c r="B375" s="87" t="s">
        <v>868</v>
      </c>
      <c r="C375" s="87" t="s">
        <v>120</v>
      </c>
    </row>
    <row r="376" spans="1:3" ht="15" customHeight="1" x14ac:dyDescent="0.25">
      <c r="A376" s="87" t="s">
        <v>869</v>
      </c>
      <c r="B376" s="87" t="s">
        <v>870</v>
      </c>
      <c r="C376" s="87" t="s">
        <v>120</v>
      </c>
    </row>
    <row r="377" spans="1:3" ht="15" customHeight="1" x14ac:dyDescent="0.25">
      <c r="A377" s="87" t="s">
        <v>871</v>
      </c>
      <c r="B377" s="87" t="s">
        <v>872</v>
      </c>
      <c r="C377" s="87" t="s">
        <v>120</v>
      </c>
    </row>
    <row r="378" spans="1:3" ht="15" customHeight="1" x14ac:dyDescent="0.25">
      <c r="A378" s="87" t="s">
        <v>873</v>
      </c>
      <c r="B378" s="87" t="s">
        <v>874</v>
      </c>
      <c r="C378" s="87" t="s">
        <v>120</v>
      </c>
    </row>
    <row r="379" spans="1:3" ht="15" customHeight="1" x14ac:dyDescent="0.25">
      <c r="A379" s="87" t="s">
        <v>875</v>
      </c>
      <c r="B379" s="87" t="s">
        <v>876</v>
      </c>
      <c r="C379" s="87" t="s">
        <v>120</v>
      </c>
    </row>
    <row r="380" spans="1:3" ht="15" customHeight="1" x14ac:dyDescent="0.25">
      <c r="A380" s="87" t="s">
        <v>877</v>
      </c>
      <c r="B380" s="87" t="s">
        <v>878</v>
      </c>
      <c r="C380" s="87" t="s">
        <v>120</v>
      </c>
    </row>
    <row r="381" spans="1:3" ht="15" customHeight="1" x14ac:dyDescent="0.25">
      <c r="A381" s="87" t="s">
        <v>879</v>
      </c>
      <c r="B381" s="87" t="s">
        <v>880</v>
      </c>
      <c r="C381" s="87" t="s">
        <v>120</v>
      </c>
    </row>
    <row r="382" spans="1:3" ht="15" customHeight="1" x14ac:dyDescent="0.25">
      <c r="A382" s="87" t="s">
        <v>881</v>
      </c>
      <c r="B382" s="87" t="s">
        <v>882</v>
      </c>
      <c r="C382" s="87" t="s">
        <v>120</v>
      </c>
    </row>
    <row r="383" spans="1:3" ht="15" customHeight="1" x14ac:dyDescent="0.25">
      <c r="A383" s="87" t="s">
        <v>883</v>
      </c>
      <c r="B383" s="87" t="s">
        <v>884</v>
      </c>
      <c r="C383" s="87" t="s">
        <v>120</v>
      </c>
    </row>
    <row r="384" spans="1:3" ht="15" customHeight="1" x14ac:dyDescent="0.25">
      <c r="A384" s="87" t="s">
        <v>885</v>
      </c>
      <c r="B384" s="87" t="s">
        <v>886</v>
      </c>
      <c r="C384" s="87" t="s">
        <v>120</v>
      </c>
    </row>
    <row r="385" spans="1:3" ht="15" customHeight="1" x14ac:dyDescent="0.25">
      <c r="A385" s="87" t="s">
        <v>887</v>
      </c>
      <c r="B385" s="87" t="s">
        <v>888</v>
      </c>
      <c r="C385" s="87" t="s">
        <v>120</v>
      </c>
    </row>
    <row r="386" spans="1:3" ht="15" customHeight="1" x14ac:dyDescent="0.25">
      <c r="A386" s="87" t="s">
        <v>889</v>
      </c>
      <c r="B386" s="87" t="s">
        <v>890</v>
      </c>
      <c r="C386" s="87" t="s">
        <v>120</v>
      </c>
    </row>
    <row r="387" spans="1:3" ht="15" customHeight="1" x14ac:dyDescent="0.25">
      <c r="A387" s="87" t="s">
        <v>891</v>
      </c>
      <c r="B387" s="87" t="s">
        <v>892</v>
      </c>
      <c r="C387" s="87" t="s">
        <v>120</v>
      </c>
    </row>
    <row r="388" spans="1:3" ht="15" customHeight="1" x14ac:dyDescent="0.25">
      <c r="A388" s="87" t="s">
        <v>893</v>
      </c>
      <c r="B388" s="87" t="s">
        <v>894</v>
      </c>
      <c r="C388" s="87" t="s">
        <v>120</v>
      </c>
    </row>
    <row r="389" spans="1:3" ht="15" customHeight="1" x14ac:dyDescent="0.25">
      <c r="A389" s="87" t="s">
        <v>895</v>
      </c>
      <c r="B389" s="87" t="s">
        <v>896</v>
      </c>
      <c r="C389" s="87" t="s">
        <v>120</v>
      </c>
    </row>
    <row r="390" spans="1:3" ht="15" customHeight="1" x14ac:dyDescent="0.25">
      <c r="A390" s="87" t="s">
        <v>897</v>
      </c>
      <c r="B390" s="87" t="s">
        <v>898</v>
      </c>
      <c r="C390" s="87" t="s">
        <v>120</v>
      </c>
    </row>
    <row r="391" spans="1:3" ht="15" customHeight="1" x14ac:dyDescent="0.25">
      <c r="A391" s="87" t="s">
        <v>899</v>
      </c>
      <c r="B391" s="87" t="s">
        <v>900</v>
      </c>
      <c r="C391" s="87" t="s">
        <v>120</v>
      </c>
    </row>
    <row r="392" spans="1:3" ht="15" customHeight="1" x14ac:dyDescent="0.25">
      <c r="A392" s="87" t="s">
        <v>901</v>
      </c>
      <c r="B392" s="87" t="s">
        <v>902</v>
      </c>
      <c r="C392" s="87" t="s">
        <v>120</v>
      </c>
    </row>
    <row r="393" spans="1:3" ht="15" customHeight="1" x14ac:dyDescent="0.25">
      <c r="A393" s="87" t="s">
        <v>903</v>
      </c>
      <c r="B393" s="87" t="s">
        <v>904</v>
      </c>
      <c r="C393" s="87" t="s">
        <v>120</v>
      </c>
    </row>
    <row r="394" spans="1:3" ht="15" customHeight="1" x14ac:dyDescent="0.25">
      <c r="A394" s="87" t="s">
        <v>905</v>
      </c>
      <c r="B394" s="87" t="s">
        <v>906</v>
      </c>
      <c r="C394" s="87" t="s">
        <v>120</v>
      </c>
    </row>
    <row r="395" spans="1:3" ht="15" customHeight="1" x14ac:dyDescent="0.25">
      <c r="A395" s="87" t="s">
        <v>907</v>
      </c>
      <c r="B395" s="87" t="s">
        <v>908</v>
      </c>
      <c r="C395" s="87" t="s">
        <v>120</v>
      </c>
    </row>
    <row r="396" spans="1:3" ht="15" customHeight="1" x14ac:dyDescent="0.25">
      <c r="A396" s="87" t="s">
        <v>909</v>
      </c>
      <c r="B396" s="87" t="s">
        <v>910</v>
      </c>
      <c r="C396" s="87" t="s">
        <v>120</v>
      </c>
    </row>
    <row r="397" spans="1:3" ht="15" customHeight="1" x14ac:dyDescent="0.25">
      <c r="A397" s="87" t="s">
        <v>911</v>
      </c>
      <c r="B397" s="87" t="s">
        <v>912</v>
      </c>
      <c r="C397" s="87" t="s">
        <v>120</v>
      </c>
    </row>
    <row r="398" spans="1:3" ht="15" customHeight="1" x14ac:dyDescent="0.25">
      <c r="A398" s="87" t="s">
        <v>913</v>
      </c>
      <c r="B398" s="87" t="s">
        <v>914</v>
      </c>
      <c r="C398" s="87" t="s">
        <v>120</v>
      </c>
    </row>
    <row r="399" spans="1:3" ht="15" customHeight="1" x14ac:dyDescent="0.25">
      <c r="A399" s="87" t="s">
        <v>915</v>
      </c>
      <c r="B399" s="87" t="s">
        <v>916</v>
      </c>
      <c r="C399" s="87" t="s">
        <v>120</v>
      </c>
    </row>
    <row r="400" spans="1:3" ht="15" customHeight="1" x14ac:dyDescent="0.25">
      <c r="A400" s="87" t="s">
        <v>917</v>
      </c>
      <c r="B400" s="87" t="s">
        <v>918</v>
      </c>
      <c r="C400" s="87" t="s">
        <v>120</v>
      </c>
    </row>
    <row r="401" spans="1:3" ht="15" customHeight="1" x14ac:dyDescent="0.25">
      <c r="A401" s="87" t="s">
        <v>919</v>
      </c>
      <c r="B401" s="87" t="s">
        <v>920</v>
      </c>
      <c r="C401" s="87" t="s">
        <v>120</v>
      </c>
    </row>
    <row r="402" spans="1:3" ht="15" customHeight="1" x14ac:dyDescent="0.25">
      <c r="A402" s="87" t="s">
        <v>921</v>
      </c>
      <c r="B402" s="87" t="s">
        <v>922</v>
      </c>
      <c r="C402" s="87" t="s">
        <v>120</v>
      </c>
    </row>
    <row r="403" spans="1:3" ht="15" customHeight="1" x14ac:dyDescent="0.25">
      <c r="A403" s="87" t="s">
        <v>923</v>
      </c>
      <c r="B403" s="87" t="s">
        <v>924</v>
      </c>
      <c r="C403" s="87" t="s">
        <v>120</v>
      </c>
    </row>
    <row r="404" spans="1:3" ht="15" customHeight="1" x14ac:dyDescent="0.25">
      <c r="A404" s="87" t="s">
        <v>925</v>
      </c>
      <c r="B404" s="87" t="s">
        <v>926</v>
      </c>
      <c r="C404" s="87" t="s">
        <v>120</v>
      </c>
    </row>
    <row r="405" spans="1:3" ht="15" customHeight="1" x14ac:dyDescent="0.25">
      <c r="A405" s="87" t="s">
        <v>927</v>
      </c>
      <c r="B405" s="87" t="s">
        <v>928</v>
      </c>
      <c r="C405" s="87" t="s">
        <v>120</v>
      </c>
    </row>
    <row r="406" spans="1:3" ht="15" customHeight="1" x14ac:dyDescent="0.25">
      <c r="A406" s="87" t="s">
        <v>929</v>
      </c>
      <c r="B406" s="87" t="s">
        <v>930</v>
      </c>
      <c r="C406" s="87" t="s">
        <v>120</v>
      </c>
    </row>
    <row r="407" spans="1:3" ht="15" customHeight="1" x14ac:dyDescent="0.25">
      <c r="A407" s="87" t="s">
        <v>931</v>
      </c>
      <c r="B407" s="87" t="s">
        <v>932</v>
      </c>
      <c r="C407" s="87" t="s">
        <v>120</v>
      </c>
    </row>
    <row r="408" spans="1:3" ht="15" customHeight="1" x14ac:dyDescent="0.25">
      <c r="A408" s="87" t="s">
        <v>933</v>
      </c>
      <c r="B408" s="87" t="s">
        <v>934</v>
      </c>
      <c r="C408" s="87" t="s">
        <v>137</v>
      </c>
    </row>
    <row r="409" spans="1:3" ht="15" customHeight="1" x14ac:dyDescent="0.25">
      <c r="A409" s="87" t="s">
        <v>935</v>
      </c>
      <c r="B409" s="87" t="s">
        <v>936</v>
      </c>
      <c r="C409" s="87" t="s">
        <v>137</v>
      </c>
    </row>
    <row r="410" spans="1:3" ht="15" customHeight="1" x14ac:dyDescent="0.25">
      <c r="A410" s="87" t="s">
        <v>937</v>
      </c>
      <c r="B410" s="87" t="s">
        <v>938</v>
      </c>
      <c r="C410" s="87" t="s">
        <v>137</v>
      </c>
    </row>
    <row r="411" spans="1:3" ht="15" customHeight="1" x14ac:dyDescent="0.25">
      <c r="A411" s="87" t="s">
        <v>939</v>
      </c>
      <c r="B411" s="87" t="s">
        <v>940</v>
      </c>
      <c r="C411" s="87" t="s">
        <v>137</v>
      </c>
    </row>
    <row r="412" spans="1:3" ht="15" customHeight="1" x14ac:dyDescent="0.25">
      <c r="A412" s="87" t="s">
        <v>941</v>
      </c>
      <c r="B412" s="87" t="s">
        <v>942</v>
      </c>
      <c r="C412" s="87" t="s">
        <v>137</v>
      </c>
    </row>
    <row r="413" spans="1:3" ht="15" customHeight="1" x14ac:dyDescent="0.25">
      <c r="A413" s="87" t="s">
        <v>943</v>
      </c>
      <c r="B413" s="87" t="s">
        <v>944</v>
      </c>
      <c r="C413" s="87" t="s">
        <v>137</v>
      </c>
    </row>
    <row r="414" spans="1:3" ht="15" customHeight="1" x14ac:dyDescent="0.25">
      <c r="A414" s="87" t="s">
        <v>945</v>
      </c>
      <c r="B414" s="87" t="s">
        <v>946</v>
      </c>
      <c r="C414" s="87" t="s">
        <v>120</v>
      </c>
    </row>
    <row r="415" spans="1:3" ht="15" customHeight="1" x14ac:dyDescent="0.25">
      <c r="A415" s="87" t="s">
        <v>947</v>
      </c>
      <c r="B415" s="87" t="s">
        <v>948</v>
      </c>
      <c r="C415" s="87" t="s">
        <v>137</v>
      </c>
    </row>
    <row r="416" spans="1:3" ht="15" customHeight="1" x14ac:dyDescent="0.25">
      <c r="A416" s="87" t="s">
        <v>949</v>
      </c>
      <c r="B416" s="87" t="s">
        <v>950</v>
      </c>
      <c r="C416" s="87" t="s">
        <v>120</v>
      </c>
    </row>
    <row r="417" spans="1:3" ht="15" customHeight="1" x14ac:dyDescent="0.25">
      <c r="A417" s="87" t="s">
        <v>951</v>
      </c>
      <c r="B417" s="87" t="s">
        <v>952</v>
      </c>
      <c r="C417" s="87" t="s">
        <v>137</v>
      </c>
    </row>
    <row r="418" spans="1:3" ht="15" customHeight="1" x14ac:dyDescent="0.25">
      <c r="A418" s="87" t="s">
        <v>953</v>
      </c>
      <c r="B418" s="87" t="s">
        <v>954</v>
      </c>
      <c r="C418" s="87" t="s">
        <v>137</v>
      </c>
    </row>
    <row r="419" spans="1:3" ht="15" customHeight="1" x14ac:dyDescent="0.25">
      <c r="A419" s="87" t="s">
        <v>955</v>
      </c>
      <c r="B419" s="87" t="s">
        <v>956</v>
      </c>
      <c r="C419" s="87" t="s">
        <v>137</v>
      </c>
    </row>
    <row r="420" spans="1:3" ht="15" customHeight="1" x14ac:dyDescent="0.25">
      <c r="A420" s="87" t="s">
        <v>957</v>
      </c>
      <c r="B420" s="87" t="s">
        <v>958</v>
      </c>
      <c r="C420" s="87" t="s">
        <v>120</v>
      </c>
    </row>
    <row r="421" spans="1:3" ht="15" customHeight="1" x14ac:dyDescent="0.25">
      <c r="A421" s="87" t="s">
        <v>959</v>
      </c>
      <c r="B421" s="87" t="s">
        <v>960</v>
      </c>
      <c r="C421" s="87" t="s">
        <v>120</v>
      </c>
    </row>
    <row r="422" spans="1:3" ht="15" customHeight="1" x14ac:dyDescent="0.25">
      <c r="A422" s="87" t="s">
        <v>961</v>
      </c>
      <c r="B422" s="87" t="s">
        <v>962</v>
      </c>
      <c r="C422" s="87" t="s">
        <v>120</v>
      </c>
    </row>
    <row r="423" spans="1:3" ht="15" customHeight="1" x14ac:dyDescent="0.25">
      <c r="A423" s="87" t="s">
        <v>963</v>
      </c>
      <c r="B423" s="87" t="s">
        <v>964</v>
      </c>
      <c r="C423" s="87" t="s">
        <v>120</v>
      </c>
    </row>
    <row r="424" spans="1:3" ht="15" customHeight="1" x14ac:dyDescent="0.25">
      <c r="A424" s="87" t="s">
        <v>965</v>
      </c>
      <c r="B424" s="87" t="s">
        <v>966</v>
      </c>
      <c r="C424" s="87" t="s">
        <v>120</v>
      </c>
    </row>
    <row r="425" spans="1:3" ht="15" customHeight="1" x14ac:dyDescent="0.25">
      <c r="A425" s="87" t="s">
        <v>967</v>
      </c>
      <c r="B425" s="87" t="s">
        <v>968</v>
      </c>
      <c r="C425" s="87" t="s">
        <v>120</v>
      </c>
    </row>
    <row r="426" spans="1:3" ht="15" customHeight="1" x14ac:dyDescent="0.25">
      <c r="A426" s="87" t="s">
        <v>969</v>
      </c>
      <c r="B426" s="87" t="s">
        <v>970</v>
      </c>
      <c r="C426" s="87" t="s">
        <v>120</v>
      </c>
    </row>
    <row r="427" spans="1:3" ht="15" customHeight="1" x14ac:dyDescent="0.25">
      <c r="A427" s="87" t="s">
        <v>971</v>
      </c>
      <c r="B427" s="87" t="s">
        <v>972</v>
      </c>
      <c r="C427" s="87" t="s">
        <v>120</v>
      </c>
    </row>
    <row r="428" spans="1:3" ht="15" customHeight="1" x14ac:dyDescent="0.25">
      <c r="A428" s="87" t="s">
        <v>973</v>
      </c>
      <c r="B428" s="87" t="s">
        <v>974</v>
      </c>
      <c r="C428" s="87" t="s">
        <v>120</v>
      </c>
    </row>
    <row r="429" spans="1:3" ht="15" customHeight="1" x14ac:dyDescent="0.25">
      <c r="A429" s="87" t="s">
        <v>975</v>
      </c>
      <c r="B429" s="87" t="s">
        <v>976</v>
      </c>
      <c r="C429" s="87" t="s">
        <v>120</v>
      </c>
    </row>
    <row r="430" spans="1:3" ht="15" customHeight="1" x14ac:dyDescent="0.25">
      <c r="A430" s="87" t="s">
        <v>977</v>
      </c>
      <c r="B430" s="87" t="s">
        <v>978</v>
      </c>
      <c r="C430" s="87" t="s">
        <v>120</v>
      </c>
    </row>
    <row r="431" spans="1:3" ht="15" customHeight="1" x14ac:dyDescent="0.25">
      <c r="A431" s="87" t="s">
        <v>979</v>
      </c>
      <c r="B431" s="87" t="s">
        <v>980</v>
      </c>
      <c r="C431" s="87" t="s">
        <v>120</v>
      </c>
    </row>
    <row r="432" spans="1:3" ht="15" customHeight="1" x14ac:dyDescent="0.25">
      <c r="A432" s="87" t="s">
        <v>981</v>
      </c>
      <c r="B432" s="87" t="s">
        <v>982</v>
      </c>
      <c r="C432" s="87" t="s">
        <v>120</v>
      </c>
    </row>
    <row r="433" spans="1:3" ht="15" customHeight="1" x14ac:dyDescent="0.25">
      <c r="A433" s="87" t="s">
        <v>983</v>
      </c>
      <c r="B433" s="87" t="s">
        <v>984</v>
      </c>
      <c r="C433" s="87" t="s">
        <v>120</v>
      </c>
    </row>
    <row r="434" spans="1:3" ht="15" customHeight="1" x14ac:dyDescent="0.25">
      <c r="A434" s="87" t="s">
        <v>985</v>
      </c>
      <c r="B434" s="87" t="s">
        <v>986</v>
      </c>
      <c r="C434" s="87" t="s">
        <v>120</v>
      </c>
    </row>
    <row r="435" spans="1:3" ht="15" customHeight="1" x14ac:dyDescent="0.25">
      <c r="A435" s="87" t="s">
        <v>987</v>
      </c>
      <c r="B435" s="87" t="s">
        <v>988</v>
      </c>
      <c r="C435" s="87" t="s">
        <v>137</v>
      </c>
    </row>
    <row r="436" spans="1:3" ht="15" customHeight="1" x14ac:dyDescent="0.25">
      <c r="A436" s="87" t="s">
        <v>989</v>
      </c>
      <c r="B436" s="87" t="s">
        <v>990</v>
      </c>
      <c r="C436" s="87" t="s">
        <v>137</v>
      </c>
    </row>
    <row r="437" spans="1:3" ht="15" customHeight="1" x14ac:dyDescent="0.25">
      <c r="A437" s="87" t="s">
        <v>991</v>
      </c>
      <c r="B437" s="87" t="s">
        <v>992</v>
      </c>
      <c r="C437" s="87" t="s">
        <v>120</v>
      </c>
    </row>
    <row r="438" spans="1:3" ht="15" customHeight="1" x14ac:dyDescent="0.25">
      <c r="A438" s="87" t="s">
        <v>993</v>
      </c>
      <c r="B438" s="87" t="s">
        <v>994</v>
      </c>
      <c r="C438" s="87" t="s">
        <v>120</v>
      </c>
    </row>
    <row r="439" spans="1:3" ht="15" customHeight="1" x14ac:dyDescent="0.25">
      <c r="A439" s="87" t="s">
        <v>995</v>
      </c>
      <c r="B439" s="87" t="s">
        <v>996</v>
      </c>
      <c r="C439" s="87" t="s">
        <v>137</v>
      </c>
    </row>
    <row r="440" spans="1:3" ht="15" customHeight="1" x14ac:dyDescent="0.25">
      <c r="A440" s="87" t="s">
        <v>997</v>
      </c>
      <c r="B440" s="87" t="s">
        <v>998</v>
      </c>
      <c r="C440" s="87" t="s">
        <v>137</v>
      </c>
    </row>
    <row r="441" spans="1:3" ht="15" customHeight="1" x14ac:dyDescent="0.25">
      <c r="A441" s="87" t="s">
        <v>999</v>
      </c>
      <c r="B441" s="87" t="s">
        <v>1000</v>
      </c>
      <c r="C441" s="87" t="s">
        <v>120</v>
      </c>
    </row>
    <row r="442" spans="1:3" ht="15" customHeight="1" x14ac:dyDescent="0.25">
      <c r="A442" s="87" t="s">
        <v>1001</v>
      </c>
      <c r="B442" s="87" t="s">
        <v>1002</v>
      </c>
      <c r="C442" s="87" t="s">
        <v>120</v>
      </c>
    </row>
    <row r="443" spans="1:3" ht="15" customHeight="1" x14ac:dyDescent="0.25">
      <c r="A443" s="87" t="s">
        <v>1003</v>
      </c>
      <c r="B443" s="87" t="s">
        <v>1004</v>
      </c>
      <c r="C443" s="87" t="s">
        <v>120</v>
      </c>
    </row>
    <row r="444" spans="1:3" ht="15" customHeight="1" x14ac:dyDescent="0.25">
      <c r="A444" s="87" t="s">
        <v>1005</v>
      </c>
      <c r="B444" s="87" t="s">
        <v>1006</v>
      </c>
      <c r="C444" s="87" t="s">
        <v>120</v>
      </c>
    </row>
    <row r="445" spans="1:3" ht="15" customHeight="1" x14ac:dyDescent="0.25">
      <c r="A445" s="87" t="s">
        <v>1007</v>
      </c>
      <c r="B445" s="87" t="s">
        <v>1008</v>
      </c>
      <c r="C445" s="87" t="s">
        <v>137</v>
      </c>
    </row>
    <row r="446" spans="1:3" ht="15" customHeight="1" x14ac:dyDescent="0.25">
      <c r="A446" s="87" t="s">
        <v>1009</v>
      </c>
      <c r="B446" s="87" t="s">
        <v>1010</v>
      </c>
      <c r="C446" s="87" t="s">
        <v>120</v>
      </c>
    </row>
    <row r="447" spans="1:3" ht="15" customHeight="1" x14ac:dyDescent="0.25">
      <c r="A447" s="87" t="s">
        <v>1011</v>
      </c>
      <c r="B447" s="87" t="s">
        <v>1012</v>
      </c>
      <c r="C447" s="87" t="s">
        <v>120</v>
      </c>
    </row>
    <row r="448" spans="1:3" ht="15" customHeight="1" x14ac:dyDescent="0.25">
      <c r="A448" s="87" t="s">
        <v>1013</v>
      </c>
      <c r="B448" s="87" t="s">
        <v>1014</v>
      </c>
      <c r="C448" s="87" t="s">
        <v>120</v>
      </c>
    </row>
    <row r="449" spans="1:3" ht="15" customHeight="1" x14ac:dyDescent="0.25">
      <c r="A449" s="87" t="s">
        <v>1015</v>
      </c>
      <c r="B449" s="87" t="s">
        <v>1016</v>
      </c>
      <c r="C449" s="87" t="s">
        <v>137</v>
      </c>
    </row>
    <row r="450" spans="1:3" ht="15" customHeight="1" x14ac:dyDescent="0.25">
      <c r="A450" s="87" t="s">
        <v>1017</v>
      </c>
      <c r="B450" s="87" t="s">
        <v>1018</v>
      </c>
      <c r="C450" s="87" t="s">
        <v>120</v>
      </c>
    </row>
    <row r="451" spans="1:3" ht="15" customHeight="1" x14ac:dyDescent="0.25">
      <c r="A451" s="87" t="s">
        <v>1019</v>
      </c>
      <c r="B451" s="87" t="s">
        <v>1020</v>
      </c>
      <c r="C451" s="87" t="s">
        <v>137</v>
      </c>
    </row>
    <row r="452" spans="1:3" ht="15" customHeight="1" x14ac:dyDescent="0.25">
      <c r="A452" s="87" t="s">
        <v>1021</v>
      </c>
      <c r="B452" s="87" t="s">
        <v>1022</v>
      </c>
      <c r="C452" s="87" t="s">
        <v>137</v>
      </c>
    </row>
    <row r="453" spans="1:3" ht="15" customHeight="1" x14ac:dyDescent="0.25">
      <c r="A453" s="87" t="s">
        <v>1023</v>
      </c>
      <c r="B453" s="87" t="s">
        <v>1024</v>
      </c>
      <c r="C453" s="87" t="s">
        <v>137</v>
      </c>
    </row>
    <row r="454" spans="1:3" ht="15" customHeight="1" x14ac:dyDescent="0.25">
      <c r="A454" s="87" t="s">
        <v>1025</v>
      </c>
      <c r="B454" s="87" t="s">
        <v>1026</v>
      </c>
      <c r="C454" s="87" t="s">
        <v>137</v>
      </c>
    </row>
    <row r="455" spans="1:3" ht="15" customHeight="1" x14ac:dyDescent="0.25">
      <c r="A455" s="87" t="s">
        <v>1027</v>
      </c>
      <c r="B455" s="87" t="s">
        <v>1028</v>
      </c>
      <c r="C455" s="87" t="s">
        <v>137</v>
      </c>
    </row>
    <row r="456" spans="1:3" ht="15" customHeight="1" x14ac:dyDescent="0.25">
      <c r="A456" s="87" t="s">
        <v>1029</v>
      </c>
      <c r="B456" s="87" t="s">
        <v>1030</v>
      </c>
      <c r="C456" s="87" t="s">
        <v>137</v>
      </c>
    </row>
    <row r="457" spans="1:3" ht="15" customHeight="1" x14ac:dyDescent="0.25">
      <c r="A457" s="87" t="s">
        <v>1031</v>
      </c>
      <c r="B457" s="87" t="s">
        <v>1032</v>
      </c>
      <c r="C457" s="87" t="s">
        <v>137</v>
      </c>
    </row>
    <row r="458" spans="1:3" ht="15" customHeight="1" x14ac:dyDescent="0.25">
      <c r="A458" s="87" t="s">
        <v>1033</v>
      </c>
      <c r="B458" s="87" t="s">
        <v>1034</v>
      </c>
      <c r="C458" s="87" t="s">
        <v>137</v>
      </c>
    </row>
    <row r="459" spans="1:3" ht="15" customHeight="1" x14ac:dyDescent="0.25">
      <c r="A459" s="87" t="s">
        <v>1035</v>
      </c>
      <c r="B459" s="87" t="s">
        <v>1036</v>
      </c>
      <c r="C459" s="87" t="s">
        <v>137</v>
      </c>
    </row>
    <row r="460" spans="1:3" ht="15" customHeight="1" x14ac:dyDescent="0.25">
      <c r="A460" s="87" t="s">
        <v>1037</v>
      </c>
      <c r="B460" s="87" t="s">
        <v>1038</v>
      </c>
      <c r="C460" s="87" t="s">
        <v>137</v>
      </c>
    </row>
    <row r="461" spans="1:3" ht="15" customHeight="1" x14ac:dyDescent="0.25">
      <c r="A461" s="87" t="s">
        <v>1039</v>
      </c>
      <c r="B461" s="87" t="s">
        <v>1040</v>
      </c>
      <c r="C461" s="87" t="s">
        <v>137</v>
      </c>
    </row>
    <row r="462" spans="1:3" ht="15" customHeight="1" x14ac:dyDescent="0.25">
      <c r="A462" s="87" t="s">
        <v>1041</v>
      </c>
      <c r="B462" s="87" t="s">
        <v>1042</v>
      </c>
      <c r="C462" s="87" t="s">
        <v>120</v>
      </c>
    </row>
    <row r="463" spans="1:3" ht="15" customHeight="1" x14ac:dyDescent="0.25">
      <c r="A463" s="87" t="s">
        <v>1043</v>
      </c>
      <c r="B463" s="87" t="s">
        <v>1044</v>
      </c>
      <c r="C463" s="87" t="s">
        <v>120</v>
      </c>
    </row>
    <row r="464" spans="1:3" ht="15" customHeight="1" x14ac:dyDescent="0.25">
      <c r="A464" s="87" t="s">
        <v>1045</v>
      </c>
      <c r="B464" s="87" t="s">
        <v>1046</v>
      </c>
      <c r="C464" s="87" t="s">
        <v>120</v>
      </c>
    </row>
    <row r="465" spans="1:3" ht="15" customHeight="1" x14ac:dyDescent="0.25">
      <c r="A465" s="87" t="s">
        <v>1047</v>
      </c>
      <c r="B465" s="87" t="s">
        <v>1048</v>
      </c>
      <c r="C465" s="87" t="s">
        <v>120</v>
      </c>
    </row>
    <row r="466" spans="1:3" ht="15" customHeight="1" x14ac:dyDescent="0.25">
      <c r="A466" s="87" t="s">
        <v>1049</v>
      </c>
      <c r="B466" s="87" t="s">
        <v>1050</v>
      </c>
      <c r="C466" s="87" t="s">
        <v>120</v>
      </c>
    </row>
    <row r="467" spans="1:3" ht="15" customHeight="1" x14ac:dyDescent="0.25">
      <c r="A467" s="87" t="s">
        <v>1051</v>
      </c>
      <c r="B467" s="87" t="s">
        <v>1052</v>
      </c>
      <c r="C467" s="87" t="s">
        <v>120</v>
      </c>
    </row>
    <row r="468" spans="1:3" ht="15" customHeight="1" x14ac:dyDescent="0.25">
      <c r="A468" s="87" t="s">
        <v>1053</v>
      </c>
      <c r="B468" s="87" t="s">
        <v>1054</v>
      </c>
      <c r="C468" s="87" t="s">
        <v>120</v>
      </c>
    </row>
    <row r="469" spans="1:3" ht="15" customHeight="1" x14ac:dyDescent="0.25">
      <c r="A469" s="87" t="s">
        <v>1055</v>
      </c>
      <c r="B469" s="87" t="s">
        <v>1056</v>
      </c>
      <c r="C469" s="87" t="s">
        <v>120</v>
      </c>
    </row>
    <row r="470" spans="1:3" ht="15" customHeight="1" x14ac:dyDescent="0.25">
      <c r="A470" s="87" t="s">
        <v>1057</v>
      </c>
      <c r="B470" s="87" t="s">
        <v>1058</v>
      </c>
      <c r="C470" s="87" t="s">
        <v>120</v>
      </c>
    </row>
    <row r="471" spans="1:3" ht="15" customHeight="1" x14ac:dyDescent="0.25">
      <c r="A471" s="87" t="s">
        <v>1059</v>
      </c>
      <c r="B471" s="87" t="s">
        <v>1060</v>
      </c>
      <c r="C471" s="87" t="s">
        <v>120</v>
      </c>
    </row>
    <row r="472" spans="1:3" ht="15" customHeight="1" x14ac:dyDescent="0.25">
      <c r="A472" s="87" t="s">
        <v>1061</v>
      </c>
      <c r="B472" s="87" t="s">
        <v>1062</v>
      </c>
      <c r="C472" s="87" t="s">
        <v>120</v>
      </c>
    </row>
    <row r="473" spans="1:3" ht="15" customHeight="1" x14ac:dyDescent="0.25">
      <c r="A473" s="87" t="s">
        <v>1063</v>
      </c>
      <c r="B473" s="87" t="s">
        <v>1064</v>
      </c>
      <c r="C473" s="87" t="s">
        <v>137</v>
      </c>
    </row>
    <row r="474" spans="1:3" ht="15" customHeight="1" x14ac:dyDescent="0.25">
      <c r="A474" s="87" t="s">
        <v>1065</v>
      </c>
      <c r="B474" s="87" t="s">
        <v>1066</v>
      </c>
      <c r="C474" s="87" t="s">
        <v>120</v>
      </c>
    </row>
    <row r="475" spans="1:3" ht="15" customHeight="1" x14ac:dyDescent="0.25">
      <c r="A475" s="87" t="s">
        <v>1067</v>
      </c>
      <c r="B475" s="87" t="s">
        <v>1068</v>
      </c>
      <c r="C475" s="87" t="s">
        <v>137</v>
      </c>
    </row>
    <row r="476" spans="1:3" ht="15" customHeight="1" x14ac:dyDescent="0.25">
      <c r="A476" s="87" t="s">
        <v>1069</v>
      </c>
      <c r="B476" s="87" t="s">
        <v>1070</v>
      </c>
      <c r="C476" s="87" t="s">
        <v>137</v>
      </c>
    </row>
    <row r="477" spans="1:3" ht="15" customHeight="1" x14ac:dyDescent="0.25">
      <c r="A477" s="87" t="s">
        <v>1071</v>
      </c>
      <c r="B477" s="87" t="s">
        <v>1072</v>
      </c>
      <c r="C477" s="87" t="s">
        <v>137</v>
      </c>
    </row>
    <row r="478" spans="1:3" ht="15" customHeight="1" x14ac:dyDescent="0.25">
      <c r="A478" s="87" t="s">
        <v>1073</v>
      </c>
      <c r="B478" s="87" t="s">
        <v>1074</v>
      </c>
      <c r="C478" s="87" t="s">
        <v>137</v>
      </c>
    </row>
    <row r="479" spans="1:3" ht="15" customHeight="1" x14ac:dyDescent="0.25">
      <c r="A479" s="87" t="s">
        <v>1075</v>
      </c>
      <c r="B479" s="87" t="s">
        <v>1076</v>
      </c>
      <c r="C479" s="87" t="s">
        <v>120</v>
      </c>
    </row>
    <row r="480" spans="1:3" ht="15" customHeight="1" x14ac:dyDescent="0.25">
      <c r="A480" s="87" t="s">
        <v>1077</v>
      </c>
      <c r="B480" s="87" t="s">
        <v>1078</v>
      </c>
      <c r="C480" s="87" t="s">
        <v>137</v>
      </c>
    </row>
    <row r="481" spans="1:3" ht="15" customHeight="1" x14ac:dyDescent="0.25">
      <c r="A481" s="87" t="s">
        <v>1079</v>
      </c>
      <c r="B481" s="87" t="s">
        <v>1080</v>
      </c>
      <c r="C481" s="87" t="s">
        <v>120</v>
      </c>
    </row>
    <row r="482" spans="1:3" ht="15" customHeight="1" x14ac:dyDescent="0.25">
      <c r="A482" s="87" t="s">
        <v>1081</v>
      </c>
      <c r="B482" s="87" t="s">
        <v>1082</v>
      </c>
      <c r="C482" s="87" t="s">
        <v>137</v>
      </c>
    </row>
    <row r="483" spans="1:3" ht="15" customHeight="1" x14ac:dyDescent="0.25">
      <c r="A483" s="87" t="s">
        <v>1083</v>
      </c>
      <c r="B483" s="87" t="s">
        <v>1084</v>
      </c>
      <c r="C483" s="87" t="s">
        <v>120</v>
      </c>
    </row>
    <row r="484" spans="1:3" ht="15" customHeight="1" x14ac:dyDescent="0.25">
      <c r="A484" s="87" t="s">
        <v>1085</v>
      </c>
      <c r="B484" s="87" t="s">
        <v>1086</v>
      </c>
      <c r="C484" s="87" t="s">
        <v>120</v>
      </c>
    </row>
    <row r="485" spans="1:3" ht="15" customHeight="1" x14ac:dyDescent="0.25">
      <c r="A485" s="87" t="s">
        <v>1087</v>
      </c>
      <c r="B485" s="87" t="s">
        <v>1088</v>
      </c>
      <c r="C485" s="87" t="s">
        <v>120</v>
      </c>
    </row>
    <row r="486" spans="1:3" ht="15" customHeight="1" x14ac:dyDescent="0.25">
      <c r="A486" s="87" t="s">
        <v>1089</v>
      </c>
      <c r="B486" s="87" t="s">
        <v>1090</v>
      </c>
      <c r="C486" s="87" t="s">
        <v>120</v>
      </c>
    </row>
    <row r="487" spans="1:3" ht="15" customHeight="1" x14ac:dyDescent="0.25">
      <c r="A487" s="87" t="s">
        <v>1091</v>
      </c>
      <c r="B487" s="87" t="s">
        <v>1092</v>
      </c>
      <c r="C487" s="87" t="s">
        <v>120</v>
      </c>
    </row>
    <row r="488" spans="1:3" ht="15" customHeight="1" x14ac:dyDescent="0.25">
      <c r="A488" s="87" t="s">
        <v>1093</v>
      </c>
      <c r="B488" s="87" t="s">
        <v>1094</v>
      </c>
      <c r="C488" s="87" t="s">
        <v>120</v>
      </c>
    </row>
    <row r="489" spans="1:3" ht="15" customHeight="1" x14ac:dyDescent="0.25">
      <c r="A489" s="87" t="s">
        <v>1095</v>
      </c>
      <c r="B489" s="87" t="s">
        <v>1096</v>
      </c>
      <c r="C489" s="87" t="s">
        <v>120</v>
      </c>
    </row>
    <row r="490" spans="1:3" ht="15" customHeight="1" x14ac:dyDescent="0.25">
      <c r="A490" s="87" t="s">
        <v>1097</v>
      </c>
      <c r="B490" s="87" t="s">
        <v>1098</v>
      </c>
      <c r="C490" s="87" t="s">
        <v>120</v>
      </c>
    </row>
    <row r="491" spans="1:3" ht="15" customHeight="1" x14ac:dyDescent="0.25">
      <c r="A491" s="87" t="s">
        <v>1099</v>
      </c>
      <c r="B491" s="87" t="s">
        <v>1100</v>
      </c>
      <c r="C491" s="87" t="s">
        <v>120</v>
      </c>
    </row>
    <row r="492" spans="1:3" ht="15" customHeight="1" x14ac:dyDescent="0.25">
      <c r="A492" s="87" t="s">
        <v>1101</v>
      </c>
      <c r="B492" s="87" t="s">
        <v>1102</v>
      </c>
      <c r="C492" s="87" t="s">
        <v>120</v>
      </c>
    </row>
    <row r="493" spans="1:3" ht="15" customHeight="1" x14ac:dyDescent="0.25">
      <c r="A493" s="87" t="s">
        <v>1103</v>
      </c>
      <c r="B493" s="87" t="s">
        <v>1104</v>
      </c>
      <c r="C493" s="87" t="s">
        <v>120</v>
      </c>
    </row>
    <row r="494" spans="1:3" ht="15" customHeight="1" x14ac:dyDescent="0.25">
      <c r="A494" s="87" t="s">
        <v>1105</v>
      </c>
      <c r="B494" s="87" t="s">
        <v>1106</v>
      </c>
      <c r="C494" s="87" t="s">
        <v>120</v>
      </c>
    </row>
    <row r="495" spans="1:3" ht="15" customHeight="1" x14ac:dyDescent="0.25">
      <c r="A495" s="87" t="s">
        <v>1107</v>
      </c>
      <c r="B495" s="87" t="s">
        <v>1108</v>
      </c>
      <c r="C495" s="87" t="s">
        <v>120</v>
      </c>
    </row>
    <row r="496" spans="1:3" ht="15" customHeight="1" x14ac:dyDescent="0.25">
      <c r="A496" s="87" t="s">
        <v>1109</v>
      </c>
      <c r="B496" s="87" t="s">
        <v>1110</v>
      </c>
      <c r="C496" s="87" t="s">
        <v>120</v>
      </c>
    </row>
    <row r="497" spans="1:3" ht="15" customHeight="1" x14ac:dyDescent="0.25">
      <c r="A497" s="87" t="s">
        <v>1111</v>
      </c>
      <c r="B497" s="87" t="s">
        <v>1112</v>
      </c>
      <c r="C497" s="87" t="s">
        <v>120</v>
      </c>
    </row>
    <row r="498" spans="1:3" ht="15" customHeight="1" x14ac:dyDescent="0.25">
      <c r="A498" s="87" t="s">
        <v>1113</v>
      </c>
      <c r="B498" s="87" t="s">
        <v>1114</v>
      </c>
      <c r="C498" s="87" t="s">
        <v>120</v>
      </c>
    </row>
    <row r="499" spans="1:3" ht="15" customHeight="1" x14ac:dyDescent="0.25">
      <c r="A499" s="87" t="s">
        <v>1115</v>
      </c>
      <c r="B499" s="87" t="s">
        <v>1116</v>
      </c>
      <c r="C499" s="87" t="s">
        <v>120</v>
      </c>
    </row>
    <row r="500" spans="1:3" ht="15" customHeight="1" x14ac:dyDescent="0.25">
      <c r="A500" s="87" t="s">
        <v>1117</v>
      </c>
      <c r="B500" s="87" t="s">
        <v>1118</v>
      </c>
      <c r="C500" s="87" t="s">
        <v>137</v>
      </c>
    </row>
    <row r="501" spans="1:3" ht="15" customHeight="1" x14ac:dyDescent="0.25">
      <c r="A501" s="87" t="s">
        <v>1119</v>
      </c>
      <c r="B501" s="87" t="s">
        <v>1120</v>
      </c>
      <c r="C501" s="87" t="s">
        <v>137</v>
      </c>
    </row>
    <row r="502" spans="1:3" ht="15" customHeight="1" x14ac:dyDescent="0.25">
      <c r="A502" s="87" t="s">
        <v>1121</v>
      </c>
      <c r="B502" s="87" t="s">
        <v>1122</v>
      </c>
      <c r="C502" s="87" t="s">
        <v>137</v>
      </c>
    </row>
    <row r="503" spans="1:3" ht="15" customHeight="1" x14ac:dyDescent="0.25">
      <c r="A503" s="87" t="s">
        <v>1123</v>
      </c>
      <c r="B503" s="87" t="s">
        <v>1124</v>
      </c>
      <c r="C503" s="87" t="s">
        <v>137</v>
      </c>
    </row>
    <row r="504" spans="1:3" ht="15" customHeight="1" x14ac:dyDescent="0.25">
      <c r="A504" s="87" t="s">
        <v>1125</v>
      </c>
      <c r="B504" s="87" t="s">
        <v>1126</v>
      </c>
      <c r="C504" s="87" t="s">
        <v>137</v>
      </c>
    </row>
    <row r="505" spans="1:3" ht="15" customHeight="1" x14ac:dyDescent="0.25">
      <c r="A505" s="87" t="s">
        <v>1127</v>
      </c>
      <c r="B505" s="87" t="s">
        <v>1128</v>
      </c>
      <c r="C505" s="87" t="s">
        <v>137</v>
      </c>
    </row>
    <row r="506" spans="1:3" ht="15" customHeight="1" x14ac:dyDescent="0.25">
      <c r="A506" s="87" t="s">
        <v>1129</v>
      </c>
      <c r="B506" s="87" t="s">
        <v>1130</v>
      </c>
      <c r="C506" s="87" t="s">
        <v>137</v>
      </c>
    </row>
    <row r="507" spans="1:3" ht="15" customHeight="1" x14ac:dyDescent="0.25">
      <c r="A507" s="87" t="s">
        <v>1131</v>
      </c>
      <c r="B507" s="87" t="s">
        <v>1132</v>
      </c>
      <c r="C507" s="87" t="s">
        <v>137</v>
      </c>
    </row>
    <row r="508" spans="1:3" ht="15" customHeight="1" x14ac:dyDescent="0.25">
      <c r="A508" s="87" t="s">
        <v>1133</v>
      </c>
      <c r="B508" s="87" t="s">
        <v>1134</v>
      </c>
      <c r="C508" s="87" t="s">
        <v>137</v>
      </c>
    </row>
    <row r="509" spans="1:3" ht="15" customHeight="1" x14ac:dyDescent="0.25">
      <c r="A509" s="87" t="s">
        <v>1135</v>
      </c>
      <c r="B509" s="87" t="s">
        <v>1136</v>
      </c>
      <c r="C509" s="87" t="s">
        <v>137</v>
      </c>
    </row>
    <row r="510" spans="1:3" ht="15" customHeight="1" x14ac:dyDescent="0.25">
      <c r="A510" s="87" t="s">
        <v>1137</v>
      </c>
      <c r="B510" s="87" t="s">
        <v>1138</v>
      </c>
      <c r="C510" s="87" t="s">
        <v>137</v>
      </c>
    </row>
    <row r="511" spans="1:3" ht="15" customHeight="1" x14ac:dyDescent="0.25">
      <c r="A511" s="87" t="s">
        <v>1139</v>
      </c>
      <c r="B511" s="87" t="s">
        <v>1140</v>
      </c>
      <c r="C511" s="87" t="s">
        <v>137</v>
      </c>
    </row>
    <row r="512" spans="1:3" ht="15" customHeight="1" x14ac:dyDescent="0.25">
      <c r="A512" s="87" t="s">
        <v>1141</v>
      </c>
      <c r="B512" s="87" t="s">
        <v>1142</v>
      </c>
      <c r="C512" s="87" t="s">
        <v>137</v>
      </c>
    </row>
    <row r="513" spans="1:3" ht="15" customHeight="1" x14ac:dyDescent="0.25">
      <c r="A513" s="87" t="s">
        <v>1143</v>
      </c>
      <c r="B513" s="87" t="s">
        <v>1144</v>
      </c>
      <c r="C513" s="87" t="s">
        <v>137</v>
      </c>
    </row>
    <row r="514" spans="1:3" ht="15" customHeight="1" x14ac:dyDescent="0.25">
      <c r="A514" s="87" t="s">
        <v>1145</v>
      </c>
      <c r="B514" s="87" t="s">
        <v>1146</v>
      </c>
      <c r="C514" s="87" t="s">
        <v>137</v>
      </c>
    </row>
    <row r="515" spans="1:3" ht="15" customHeight="1" x14ac:dyDescent="0.25">
      <c r="A515" s="87" t="s">
        <v>1147</v>
      </c>
      <c r="B515" s="87" t="s">
        <v>1148</v>
      </c>
      <c r="C515" s="87" t="s">
        <v>137</v>
      </c>
    </row>
    <row r="516" spans="1:3" ht="15" customHeight="1" x14ac:dyDescent="0.25">
      <c r="A516" s="87" t="s">
        <v>1149</v>
      </c>
      <c r="B516" s="87" t="s">
        <v>1150</v>
      </c>
      <c r="C516" s="87" t="s">
        <v>137</v>
      </c>
    </row>
    <row r="517" spans="1:3" ht="15" customHeight="1" x14ac:dyDescent="0.25">
      <c r="A517" s="87" t="s">
        <v>1151</v>
      </c>
      <c r="B517" s="87" t="s">
        <v>1152</v>
      </c>
      <c r="C517" s="87" t="s">
        <v>137</v>
      </c>
    </row>
    <row r="518" spans="1:3" ht="15" customHeight="1" x14ac:dyDescent="0.25">
      <c r="A518" s="87" t="s">
        <v>1153</v>
      </c>
      <c r="B518" s="87" t="s">
        <v>1154</v>
      </c>
      <c r="C518" s="87" t="s">
        <v>137</v>
      </c>
    </row>
    <row r="519" spans="1:3" ht="15" customHeight="1" x14ac:dyDescent="0.25">
      <c r="A519" s="87" t="s">
        <v>1155</v>
      </c>
      <c r="B519" s="87" t="s">
        <v>1156</v>
      </c>
      <c r="C519" s="87" t="s">
        <v>137</v>
      </c>
    </row>
    <row r="520" spans="1:3" ht="15" customHeight="1" x14ac:dyDescent="0.25">
      <c r="A520" s="87" t="s">
        <v>1157</v>
      </c>
      <c r="B520" s="87" t="s">
        <v>1158</v>
      </c>
      <c r="C520" s="87" t="s">
        <v>137</v>
      </c>
    </row>
    <row r="521" spans="1:3" ht="15" customHeight="1" x14ac:dyDescent="0.25">
      <c r="A521" s="87" t="s">
        <v>1159</v>
      </c>
      <c r="B521" s="87" t="s">
        <v>1160</v>
      </c>
      <c r="C521" s="87" t="s">
        <v>137</v>
      </c>
    </row>
    <row r="522" spans="1:3" ht="15" customHeight="1" x14ac:dyDescent="0.25">
      <c r="A522" s="87" t="s">
        <v>1161</v>
      </c>
      <c r="B522" s="87" t="s">
        <v>1162</v>
      </c>
      <c r="C522" s="87" t="s">
        <v>137</v>
      </c>
    </row>
    <row r="523" spans="1:3" ht="15" customHeight="1" x14ac:dyDescent="0.25">
      <c r="A523" s="87" t="s">
        <v>1163</v>
      </c>
      <c r="B523" s="87" t="s">
        <v>1164</v>
      </c>
      <c r="C523" s="87" t="s">
        <v>137</v>
      </c>
    </row>
    <row r="524" spans="1:3" ht="15" customHeight="1" x14ac:dyDescent="0.25">
      <c r="A524" s="87" t="s">
        <v>1165</v>
      </c>
      <c r="B524" s="87" t="s">
        <v>1166</v>
      </c>
      <c r="C524" s="87" t="s">
        <v>137</v>
      </c>
    </row>
    <row r="525" spans="1:3" ht="15" customHeight="1" x14ac:dyDescent="0.25">
      <c r="A525" s="87" t="s">
        <v>1167</v>
      </c>
      <c r="B525" s="87" t="s">
        <v>1168</v>
      </c>
      <c r="C525" s="87" t="s">
        <v>137</v>
      </c>
    </row>
    <row r="526" spans="1:3" ht="15" customHeight="1" x14ac:dyDescent="0.25">
      <c r="A526" s="87" t="s">
        <v>1169</v>
      </c>
      <c r="B526" s="87" t="s">
        <v>1170</v>
      </c>
      <c r="C526" s="87" t="s">
        <v>137</v>
      </c>
    </row>
    <row r="527" spans="1:3" ht="15" customHeight="1" x14ac:dyDescent="0.25">
      <c r="A527" s="87" t="s">
        <v>1171</v>
      </c>
      <c r="B527" s="87" t="s">
        <v>1172</v>
      </c>
      <c r="C527" s="87" t="s">
        <v>137</v>
      </c>
    </row>
    <row r="528" spans="1:3" ht="15" customHeight="1" x14ac:dyDescent="0.25">
      <c r="A528" s="87" t="s">
        <v>1173</v>
      </c>
      <c r="B528" s="87" t="s">
        <v>1174</v>
      </c>
      <c r="C528" s="87" t="s">
        <v>137</v>
      </c>
    </row>
    <row r="529" spans="1:3" ht="15" customHeight="1" x14ac:dyDescent="0.25">
      <c r="A529" s="87" t="s">
        <v>1175</v>
      </c>
      <c r="B529" s="87" t="s">
        <v>1176</v>
      </c>
      <c r="C529" s="87" t="s">
        <v>137</v>
      </c>
    </row>
    <row r="530" spans="1:3" ht="15" customHeight="1" x14ac:dyDescent="0.25">
      <c r="A530" s="87" t="s">
        <v>1177</v>
      </c>
      <c r="B530" s="87" t="s">
        <v>1178</v>
      </c>
      <c r="C530" s="87" t="s">
        <v>137</v>
      </c>
    </row>
    <row r="531" spans="1:3" ht="15" customHeight="1" x14ac:dyDescent="0.25">
      <c r="A531" s="87" t="s">
        <v>1179</v>
      </c>
      <c r="B531" s="87" t="s">
        <v>1180</v>
      </c>
      <c r="C531" s="87" t="s">
        <v>120</v>
      </c>
    </row>
    <row r="532" spans="1:3" ht="15" customHeight="1" x14ac:dyDescent="0.25">
      <c r="A532" s="87" t="s">
        <v>1181</v>
      </c>
      <c r="B532" s="87" t="s">
        <v>1182</v>
      </c>
      <c r="C532" s="87" t="s">
        <v>137</v>
      </c>
    </row>
    <row r="533" spans="1:3" ht="15" customHeight="1" x14ac:dyDescent="0.25">
      <c r="A533" s="87" t="s">
        <v>1183</v>
      </c>
      <c r="B533" s="87" t="s">
        <v>1184</v>
      </c>
      <c r="C533" s="87" t="s">
        <v>137</v>
      </c>
    </row>
    <row r="534" spans="1:3" ht="15" customHeight="1" x14ac:dyDescent="0.25">
      <c r="A534" s="87" t="s">
        <v>1185</v>
      </c>
      <c r="B534" s="87" t="s">
        <v>1186</v>
      </c>
      <c r="C534" s="87" t="s">
        <v>137</v>
      </c>
    </row>
    <row r="535" spans="1:3" ht="15" customHeight="1" x14ac:dyDescent="0.25">
      <c r="A535" s="87" t="s">
        <v>1187</v>
      </c>
      <c r="B535" s="87" t="s">
        <v>1188</v>
      </c>
      <c r="C535" s="87" t="s">
        <v>137</v>
      </c>
    </row>
    <row r="536" spans="1:3" ht="15" customHeight="1" x14ac:dyDescent="0.25">
      <c r="A536" s="87" t="s">
        <v>1189</v>
      </c>
      <c r="B536" s="87" t="s">
        <v>1190</v>
      </c>
      <c r="C536" s="87" t="s">
        <v>137</v>
      </c>
    </row>
    <row r="537" spans="1:3" ht="15" customHeight="1" x14ac:dyDescent="0.25">
      <c r="A537" s="87" t="s">
        <v>1191</v>
      </c>
      <c r="B537" s="87" t="s">
        <v>1192</v>
      </c>
      <c r="C537" s="87" t="s">
        <v>120</v>
      </c>
    </row>
    <row r="538" spans="1:3" ht="15" customHeight="1" x14ac:dyDescent="0.25">
      <c r="A538" s="87" t="s">
        <v>1193</v>
      </c>
      <c r="B538" s="87" t="s">
        <v>1194</v>
      </c>
      <c r="C538" s="87" t="s">
        <v>137</v>
      </c>
    </row>
    <row r="539" spans="1:3" ht="15" customHeight="1" x14ac:dyDescent="0.25">
      <c r="A539" s="87" t="s">
        <v>1195</v>
      </c>
      <c r="B539" s="87" t="s">
        <v>1196</v>
      </c>
      <c r="C539" s="87" t="s">
        <v>137</v>
      </c>
    </row>
    <row r="540" spans="1:3" ht="15" customHeight="1" x14ac:dyDescent="0.25">
      <c r="A540" s="87" t="s">
        <v>1197</v>
      </c>
      <c r="B540" s="87" t="s">
        <v>1198</v>
      </c>
      <c r="C540" s="87" t="s">
        <v>137</v>
      </c>
    </row>
    <row r="541" spans="1:3" ht="15" customHeight="1" x14ac:dyDescent="0.25">
      <c r="A541" s="87" t="s">
        <v>1199</v>
      </c>
      <c r="B541" s="87" t="s">
        <v>1200</v>
      </c>
      <c r="C541" s="87" t="s">
        <v>137</v>
      </c>
    </row>
    <row r="542" spans="1:3" ht="15" customHeight="1" x14ac:dyDescent="0.25">
      <c r="A542" s="87" t="s">
        <v>1201</v>
      </c>
      <c r="B542" s="87" t="s">
        <v>1202</v>
      </c>
      <c r="C542" s="87" t="s">
        <v>137</v>
      </c>
    </row>
    <row r="543" spans="1:3" ht="15" customHeight="1" x14ac:dyDescent="0.25">
      <c r="A543" s="87" t="s">
        <v>1203</v>
      </c>
      <c r="B543" s="87" t="s">
        <v>1204</v>
      </c>
      <c r="C543" s="87" t="s">
        <v>137</v>
      </c>
    </row>
    <row r="544" spans="1:3" ht="15" customHeight="1" x14ac:dyDescent="0.25">
      <c r="A544" s="87" t="s">
        <v>1205</v>
      </c>
      <c r="B544" s="87" t="s">
        <v>1206</v>
      </c>
      <c r="C544" s="87" t="s">
        <v>137</v>
      </c>
    </row>
    <row r="545" spans="1:3" ht="15" customHeight="1" x14ac:dyDescent="0.25">
      <c r="A545" s="87" t="s">
        <v>1207</v>
      </c>
      <c r="B545" s="87" t="s">
        <v>1208</v>
      </c>
      <c r="C545" s="87" t="s">
        <v>137</v>
      </c>
    </row>
    <row r="546" spans="1:3" ht="15" customHeight="1" x14ac:dyDescent="0.25">
      <c r="A546" s="87" t="s">
        <v>1209</v>
      </c>
      <c r="B546" s="87" t="s">
        <v>1210</v>
      </c>
      <c r="C546" s="87" t="s">
        <v>137</v>
      </c>
    </row>
    <row r="547" spans="1:3" ht="15" customHeight="1" x14ac:dyDescent="0.25">
      <c r="A547" s="87" t="s">
        <v>1211</v>
      </c>
      <c r="B547" s="87" t="s">
        <v>1212</v>
      </c>
      <c r="C547" s="87" t="s">
        <v>137</v>
      </c>
    </row>
    <row r="548" spans="1:3" ht="15" customHeight="1" x14ac:dyDescent="0.25">
      <c r="A548" s="87" t="s">
        <v>1213</v>
      </c>
      <c r="B548" s="87" t="s">
        <v>1214</v>
      </c>
      <c r="C548" s="87" t="s">
        <v>137</v>
      </c>
    </row>
    <row r="549" spans="1:3" ht="15" customHeight="1" x14ac:dyDescent="0.25">
      <c r="A549" s="87" t="s">
        <v>1215</v>
      </c>
      <c r="B549" s="87" t="s">
        <v>1216</v>
      </c>
      <c r="C549" s="87" t="s">
        <v>137</v>
      </c>
    </row>
    <row r="550" spans="1:3" ht="15" customHeight="1" x14ac:dyDescent="0.25">
      <c r="A550" s="87" t="s">
        <v>1217</v>
      </c>
      <c r="B550" s="87" t="s">
        <v>1218</v>
      </c>
      <c r="C550" s="87" t="s">
        <v>137</v>
      </c>
    </row>
    <row r="551" spans="1:3" ht="15" customHeight="1" x14ac:dyDescent="0.25">
      <c r="A551" s="87" t="s">
        <v>1219</v>
      </c>
      <c r="B551" s="87" t="s">
        <v>1220</v>
      </c>
      <c r="C551" s="87" t="s">
        <v>137</v>
      </c>
    </row>
    <row r="552" spans="1:3" ht="15" customHeight="1" x14ac:dyDescent="0.25">
      <c r="A552" s="87" t="s">
        <v>1221</v>
      </c>
      <c r="B552" s="87" t="s">
        <v>1222</v>
      </c>
      <c r="C552" s="87" t="s">
        <v>137</v>
      </c>
    </row>
    <row r="553" spans="1:3" ht="15" customHeight="1" x14ac:dyDescent="0.25">
      <c r="A553" s="87" t="s">
        <v>1223</v>
      </c>
      <c r="B553" s="87" t="s">
        <v>1224</v>
      </c>
      <c r="C553" s="87" t="s">
        <v>137</v>
      </c>
    </row>
    <row r="554" spans="1:3" ht="15" customHeight="1" x14ac:dyDescent="0.25">
      <c r="A554" s="87" t="s">
        <v>1225</v>
      </c>
      <c r="B554" s="87" t="s">
        <v>1226</v>
      </c>
      <c r="C554" s="87" t="s">
        <v>137</v>
      </c>
    </row>
    <row r="555" spans="1:3" ht="15" customHeight="1" x14ac:dyDescent="0.25">
      <c r="A555" s="87" t="s">
        <v>1227</v>
      </c>
      <c r="B555" s="87" t="s">
        <v>1228</v>
      </c>
      <c r="C555" s="87" t="s">
        <v>137</v>
      </c>
    </row>
    <row r="556" spans="1:3" ht="15" customHeight="1" x14ac:dyDescent="0.25">
      <c r="A556" s="87" t="s">
        <v>1229</v>
      </c>
      <c r="B556" s="87" t="s">
        <v>1230</v>
      </c>
      <c r="C556" s="87" t="s">
        <v>137</v>
      </c>
    </row>
    <row r="557" spans="1:3" ht="15" customHeight="1" x14ac:dyDescent="0.25">
      <c r="A557" s="87" t="s">
        <v>1231</v>
      </c>
      <c r="B557" s="87" t="s">
        <v>1232</v>
      </c>
      <c r="C557" s="87" t="s">
        <v>137</v>
      </c>
    </row>
    <row r="558" spans="1:3" ht="15" customHeight="1" x14ac:dyDescent="0.25">
      <c r="A558" s="87" t="s">
        <v>1233</v>
      </c>
      <c r="B558" s="87" t="s">
        <v>1234</v>
      </c>
      <c r="C558" s="87" t="s">
        <v>137</v>
      </c>
    </row>
    <row r="559" spans="1:3" ht="15" customHeight="1" x14ac:dyDescent="0.25">
      <c r="A559" s="87" t="s">
        <v>1235</v>
      </c>
      <c r="B559" s="87" t="s">
        <v>1236</v>
      </c>
      <c r="C559" s="87" t="s">
        <v>137</v>
      </c>
    </row>
    <row r="560" spans="1:3" ht="15" customHeight="1" x14ac:dyDescent="0.25">
      <c r="A560" s="87" t="s">
        <v>1237</v>
      </c>
      <c r="B560" s="87" t="s">
        <v>1238</v>
      </c>
      <c r="C560" s="87" t="s">
        <v>137</v>
      </c>
    </row>
    <row r="561" spans="1:3" ht="15" customHeight="1" x14ac:dyDescent="0.25">
      <c r="A561" s="87" t="s">
        <v>1239</v>
      </c>
      <c r="B561" s="87" t="s">
        <v>1240</v>
      </c>
      <c r="C561" s="87" t="s">
        <v>137</v>
      </c>
    </row>
    <row r="562" spans="1:3" ht="15" customHeight="1" x14ac:dyDescent="0.25">
      <c r="A562" s="87" t="s">
        <v>1241</v>
      </c>
      <c r="B562" s="87" t="s">
        <v>1242</v>
      </c>
      <c r="C562" s="87" t="s">
        <v>137</v>
      </c>
    </row>
    <row r="563" spans="1:3" ht="15" customHeight="1" x14ac:dyDescent="0.25">
      <c r="A563" s="87" t="s">
        <v>1243</v>
      </c>
      <c r="B563" s="87" t="s">
        <v>1244</v>
      </c>
      <c r="C563" s="87" t="s">
        <v>137</v>
      </c>
    </row>
    <row r="564" spans="1:3" ht="15" customHeight="1" x14ac:dyDescent="0.25">
      <c r="A564" s="87" t="s">
        <v>1245</v>
      </c>
      <c r="B564" s="87" t="s">
        <v>1246</v>
      </c>
      <c r="C564" s="87" t="s">
        <v>137</v>
      </c>
    </row>
    <row r="565" spans="1:3" ht="15" customHeight="1" x14ac:dyDescent="0.25">
      <c r="A565" s="87" t="s">
        <v>1247</v>
      </c>
      <c r="B565" s="87" t="s">
        <v>1248</v>
      </c>
      <c r="C565" s="87" t="s">
        <v>137</v>
      </c>
    </row>
    <row r="566" spans="1:3" ht="15" customHeight="1" x14ac:dyDescent="0.25">
      <c r="A566" s="87" t="s">
        <v>1249</v>
      </c>
      <c r="B566" s="87" t="s">
        <v>1250</v>
      </c>
      <c r="C566" s="87" t="s">
        <v>137</v>
      </c>
    </row>
    <row r="567" spans="1:3" ht="15" customHeight="1" x14ac:dyDescent="0.25">
      <c r="A567" s="87" t="s">
        <v>1251</v>
      </c>
      <c r="B567" s="87" t="s">
        <v>1252</v>
      </c>
      <c r="C567" s="87" t="s">
        <v>137</v>
      </c>
    </row>
    <row r="568" spans="1:3" ht="15" customHeight="1" x14ac:dyDescent="0.25">
      <c r="A568" s="87" t="s">
        <v>1253</v>
      </c>
      <c r="B568" s="87" t="s">
        <v>1254</v>
      </c>
      <c r="C568" s="87" t="s">
        <v>137</v>
      </c>
    </row>
    <row r="569" spans="1:3" ht="15" customHeight="1" x14ac:dyDescent="0.25">
      <c r="A569" s="87" t="s">
        <v>1255</v>
      </c>
      <c r="B569" s="87" t="s">
        <v>1256</v>
      </c>
      <c r="C569" s="87" t="s">
        <v>137</v>
      </c>
    </row>
    <row r="570" spans="1:3" ht="15" customHeight="1" x14ac:dyDescent="0.25">
      <c r="A570" s="87" t="s">
        <v>1257</v>
      </c>
      <c r="B570" s="87" t="s">
        <v>1258</v>
      </c>
      <c r="C570" s="87" t="s">
        <v>137</v>
      </c>
    </row>
    <row r="571" spans="1:3" ht="15" customHeight="1" x14ac:dyDescent="0.25">
      <c r="A571" s="87" t="s">
        <v>1259</v>
      </c>
      <c r="B571" s="87" t="s">
        <v>1260</v>
      </c>
      <c r="C571" s="87" t="s">
        <v>137</v>
      </c>
    </row>
    <row r="572" spans="1:3" ht="15" customHeight="1" x14ac:dyDescent="0.25">
      <c r="A572" s="87" t="s">
        <v>1261</v>
      </c>
      <c r="B572" s="87" t="s">
        <v>1262</v>
      </c>
      <c r="C572" s="87" t="s">
        <v>137</v>
      </c>
    </row>
    <row r="573" spans="1:3" ht="15" customHeight="1" x14ac:dyDescent="0.25">
      <c r="A573" s="87" t="s">
        <v>1263</v>
      </c>
      <c r="B573" s="87" t="s">
        <v>1264</v>
      </c>
      <c r="C573" s="87" t="s">
        <v>137</v>
      </c>
    </row>
    <row r="574" spans="1:3" ht="15" customHeight="1" x14ac:dyDescent="0.25">
      <c r="A574" s="87" t="s">
        <v>1265</v>
      </c>
      <c r="B574" s="87" t="s">
        <v>1266</v>
      </c>
      <c r="C574" s="87" t="s">
        <v>137</v>
      </c>
    </row>
    <row r="575" spans="1:3" ht="15" customHeight="1" x14ac:dyDescent="0.25">
      <c r="A575" s="87" t="s">
        <v>1267</v>
      </c>
      <c r="B575" s="87" t="s">
        <v>1268</v>
      </c>
      <c r="C575" s="87" t="s">
        <v>137</v>
      </c>
    </row>
    <row r="576" spans="1:3" ht="15" customHeight="1" x14ac:dyDescent="0.25">
      <c r="A576" s="87" t="s">
        <v>1269</v>
      </c>
      <c r="B576" s="87" t="s">
        <v>1270</v>
      </c>
      <c r="C576" s="87" t="s">
        <v>137</v>
      </c>
    </row>
    <row r="577" spans="1:3" ht="15" customHeight="1" x14ac:dyDescent="0.25">
      <c r="A577" s="87" t="s">
        <v>1271</v>
      </c>
      <c r="B577" s="87" t="s">
        <v>1272</v>
      </c>
      <c r="C577" s="87" t="s">
        <v>137</v>
      </c>
    </row>
    <row r="578" spans="1:3" ht="15" customHeight="1" x14ac:dyDescent="0.25">
      <c r="A578" s="87" t="s">
        <v>1273</v>
      </c>
      <c r="B578" s="87" t="s">
        <v>1274</v>
      </c>
      <c r="C578" s="87" t="s">
        <v>137</v>
      </c>
    </row>
    <row r="579" spans="1:3" ht="15" customHeight="1" x14ac:dyDescent="0.25">
      <c r="A579" s="87" t="s">
        <v>1275</v>
      </c>
      <c r="B579" s="87" t="s">
        <v>1276</v>
      </c>
      <c r="C579" s="87" t="s">
        <v>137</v>
      </c>
    </row>
    <row r="580" spans="1:3" ht="15" customHeight="1" x14ac:dyDescent="0.25">
      <c r="A580" s="87" t="s">
        <v>1277</v>
      </c>
      <c r="B580" s="87" t="s">
        <v>1278</v>
      </c>
      <c r="C580" s="87" t="s">
        <v>137</v>
      </c>
    </row>
    <row r="581" spans="1:3" ht="15" customHeight="1" x14ac:dyDescent="0.25">
      <c r="A581" s="87" t="s">
        <v>1279</v>
      </c>
      <c r="B581" s="87" t="s">
        <v>1280</v>
      </c>
      <c r="C581" s="87" t="s">
        <v>137</v>
      </c>
    </row>
    <row r="582" spans="1:3" ht="15" customHeight="1" x14ac:dyDescent="0.25">
      <c r="A582" s="87" t="s">
        <v>1281</v>
      </c>
      <c r="B582" s="87" t="s">
        <v>1282</v>
      </c>
      <c r="C582" s="87" t="s">
        <v>137</v>
      </c>
    </row>
    <row r="583" spans="1:3" ht="15" customHeight="1" x14ac:dyDescent="0.25">
      <c r="A583" s="87" t="s">
        <v>1283</v>
      </c>
      <c r="B583" s="87" t="s">
        <v>1284</v>
      </c>
      <c r="C583" s="87" t="s">
        <v>137</v>
      </c>
    </row>
    <row r="584" spans="1:3" ht="15" customHeight="1" x14ac:dyDescent="0.25">
      <c r="A584" s="87" t="s">
        <v>1285</v>
      </c>
      <c r="B584" s="87" t="s">
        <v>1286</v>
      </c>
      <c r="C584" s="87" t="s">
        <v>137</v>
      </c>
    </row>
    <row r="585" spans="1:3" ht="15" customHeight="1" x14ac:dyDescent="0.25">
      <c r="A585" s="87" t="s">
        <v>1287</v>
      </c>
      <c r="B585" s="87" t="s">
        <v>1288</v>
      </c>
      <c r="C585" s="87" t="s">
        <v>137</v>
      </c>
    </row>
    <row r="586" spans="1:3" ht="15" customHeight="1" x14ac:dyDescent="0.25">
      <c r="A586" s="87" t="s">
        <v>1289</v>
      </c>
      <c r="B586" s="87" t="s">
        <v>1290</v>
      </c>
      <c r="C586" s="87" t="s">
        <v>137</v>
      </c>
    </row>
    <row r="587" spans="1:3" ht="15" customHeight="1" x14ac:dyDescent="0.25">
      <c r="A587" s="87" t="s">
        <v>1291</v>
      </c>
      <c r="B587" s="87" t="s">
        <v>1292</v>
      </c>
      <c r="C587" s="87" t="s">
        <v>137</v>
      </c>
    </row>
    <row r="588" spans="1:3" ht="15" customHeight="1" x14ac:dyDescent="0.25">
      <c r="A588" s="87" t="s">
        <v>1293</v>
      </c>
      <c r="B588" s="87" t="s">
        <v>1294</v>
      </c>
      <c r="C588" s="87" t="s">
        <v>137</v>
      </c>
    </row>
    <row r="589" spans="1:3" ht="15" customHeight="1" x14ac:dyDescent="0.25">
      <c r="A589" s="87" t="s">
        <v>1295</v>
      </c>
      <c r="B589" s="87" t="s">
        <v>1296</v>
      </c>
      <c r="C589" s="87" t="s">
        <v>137</v>
      </c>
    </row>
    <row r="590" spans="1:3" ht="15" customHeight="1" x14ac:dyDescent="0.25">
      <c r="A590" s="87" t="s">
        <v>1297</v>
      </c>
      <c r="B590" s="87" t="s">
        <v>1298</v>
      </c>
      <c r="C590" s="87" t="s">
        <v>137</v>
      </c>
    </row>
    <row r="591" spans="1:3" ht="15" customHeight="1" x14ac:dyDescent="0.25">
      <c r="A591" s="87" t="s">
        <v>1299</v>
      </c>
      <c r="B591" s="87" t="s">
        <v>1300</v>
      </c>
      <c r="C591" s="87" t="s">
        <v>137</v>
      </c>
    </row>
    <row r="592" spans="1:3" ht="15" customHeight="1" x14ac:dyDescent="0.25">
      <c r="A592" s="87" t="s">
        <v>1301</v>
      </c>
      <c r="B592" s="87" t="s">
        <v>1302</v>
      </c>
      <c r="C592" s="87" t="s">
        <v>137</v>
      </c>
    </row>
    <row r="593" spans="1:3" ht="15" customHeight="1" x14ac:dyDescent="0.25">
      <c r="A593" s="87" t="s">
        <v>1303</v>
      </c>
      <c r="B593" s="87" t="s">
        <v>1304</v>
      </c>
      <c r="C593" s="87" t="s">
        <v>137</v>
      </c>
    </row>
    <row r="594" spans="1:3" ht="15" customHeight="1" x14ac:dyDescent="0.25">
      <c r="A594" s="87" t="s">
        <v>1305</v>
      </c>
      <c r="B594" s="87" t="s">
        <v>1306</v>
      </c>
      <c r="C594" s="87" t="s">
        <v>137</v>
      </c>
    </row>
    <row r="595" spans="1:3" ht="15" customHeight="1" x14ac:dyDescent="0.25">
      <c r="A595" s="87" t="s">
        <v>1307</v>
      </c>
      <c r="B595" s="87" t="s">
        <v>1308</v>
      </c>
      <c r="C595" s="87" t="s">
        <v>137</v>
      </c>
    </row>
    <row r="596" spans="1:3" ht="15" customHeight="1" x14ac:dyDescent="0.25">
      <c r="A596" s="87" t="s">
        <v>1309</v>
      </c>
      <c r="B596" s="87" t="s">
        <v>1310</v>
      </c>
      <c r="C596" s="87" t="s">
        <v>137</v>
      </c>
    </row>
    <row r="597" spans="1:3" ht="15" customHeight="1" x14ac:dyDescent="0.25">
      <c r="A597" s="87" t="s">
        <v>1311</v>
      </c>
      <c r="B597" s="87" t="s">
        <v>1312</v>
      </c>
      <c r="C597" s="87" t="s">
        <v>137</v>
      </c>
    </row>
    <row r="598" spans="1:3" ht="15" customHeight="1" x14ac:dyDescent="0.25">
      <c r="A598" s="87" t="s">
        <v>1313</v>
      </c>
      <c r="B598" s="87" t="s">
        <v>1314</v>
      </c>
      <c r="C598" s="87" t="s">
        <v>137</v>
      </c>
    </row>
    <row r="599" spans="1:3" ht="15" customHeight="1" x14ac:dyDescent="0.25">
      <c r="A599" s="87" t="s">
        <v>1315</v>
      </c>
      <c r="B599" s="87" t="s">
        <v>1316</v>
      </c>
      <c r="C599" s="87" t="s">
        <v>137</v>
      </c>
    </row>
    <row r="600" spans="1:3" ht="15" customHeight="1" x14ac:dyDescent="0.25">
      <c r="A600" s="87" t="s">
        <v>1317</v>
      </c>
      <c r="B600" s="87" t="s">
        <v>1318</v>
      </c>
      <c r="C600" s="87" t="s">
        <v>137</v>
      </c>
    </row>
    <row r="601" spans="1:3" ht="15" customHeight="1" x14ac:dyDescent="0.25">
      <c r="A601" s="87" t="s">
        <v>1319</v>
      </c>
      <c r="B601" s="87" t="s">
        <v>1320</v>
      </c>
      <c r="C601" s="87" t="s">
        <v>137</v>
      </c>
    </row>
    <row r="602" spans="1:3" ht="15" customHeight="1" x14ac:dyDescent="0.25">
      <c r="A602" s="87" t="s">
        <v>1321</v>
      </c>
      <c r="B602" s="87" t="s">
        <v>1322</v>
      </c>
      <c r="C602" s="87" t="s">
        <v>137</v>
      </c>
    </row>
    <row r="603" spans="1:3" ht="15" customHeight="1" x14ac:dyDescent="0.25">
      <c r="A603" s="87" t="s">
        <v>1323</v>
      </c>
      <c r="B603" s="87" t="s">
        <v>1324</v>
      </c>
      <c r="C603" s="87" t="s">
        <v>137</v>
      </c>
    </row>
    <row r="604" spans="1:3" ht="15" customHeight="1" x14ac:dyDescent="0.25">
      <c r="A604" s="87" t="s">
        <v>1325</v>
      </c>
      <c r="B604" s="87" t="s">
        <v>1326</v>
      </c>
      <c r="C604" s="87" t="s">
        <v>137</v>
      </c>
    </row>
    <row r="605" spans="1:3" ht="15" customHeight="1" x14ac:dyDescent="0.25">
      <c r="A605" s="87" t="s">
        <v>1327</v>
      </c>
      <c r="B605" s="87" t="s">
        <v>1328</v>
      </c>
      <c r="C605" s="87" t="s">
        <v>137</v>
      </c>
    </row>
    <row r="606" spans="1:3" ht="15" customHeight="1" x14ac:dyDescent="0.25">
      <c r="A606" s="87" t="s">
        <v>1329</v>
      </c>
      <c r="B606" s="87" t="s">
        <v>1330</v>
      </c>
      <c r="C606" s="87" t="s">
        <v>137</v>
      </c>
    </row>
    <row r="607" spans="1:3" ht="15" customHeight="1" x14ac:dyDescent="0.25">
      <c r="A607" s="87" t="s">
        <v>1331</v>
      </c>
      <c r="B607" s="87" t="s">
        <v>1332</v>
      </c>
      <c r="C607" s="87" t="s">
        <v>120</v>
      </c>
    </row>
    <row r="608" spans="1:3" ht="15" customHeight="1" x14ac:dyDescent="0.25">
      <c r="A608" s="87" t="s">
        <v>1333</v>
      </c>
      <c r="B608" s="87" t="s">
        <v>1334</v>
      </c>
      <c r="C608" s="87" t="s">
        <v>120</v>
      </c>
    </row>
    <row r="609" spans="1:3" ht="15" customHeight="1" x14ac:dyDescent="0.25">
      <c r="A609" s="87" t="s">
        <v>1335</v>
      </c>
      <c r="B609" s="87" t="s">
        <v>1336</v>
      </c>
      <c r="C609" s="87" t="s">
        <v>120</v>
      </c>
    </row>
    <row r="610" spans="1:3" ht="15" customHeight="1" x14ac:dyDescent="0.25">
      <c r="A610" s="87" t="s">
        <v>1337</v>
      </c>
      <c r="B610" s="87" t="s">
        <v>1338</v>
      </c>
      <c r="C610" s="87" t="s">
        <v>120</v>
      </c>
    </row>
    <row r="611" spans="1:3" ht="15" customHeight="1" x14ac:dyDescent="0.25">
      <c r="A611" s="87" t="s">
        <v>1339</v>
      </c>
      <c r="B611" s="87" t="s">
        <v>1340</v>
      </c>
      <c r="C611" s="87" t="s">
        <v>120</v>
      </c>
    </row>
    <row r="612" spans="1:3" ht="15" customHeight="1" x14ac:dyDescent="0.25">
      <c r="A612" s="87" t="s">
        <v>1341</v>
      </c>
      <c r="B612" s="87" t="s">
        <v>1342</v>
      </c>
      <c r="C612" s="87" t="s">
        <v>137</v>
      </c>
    </row>
    <row r="613" spans="1:3" ht="15" customHeight="1" x14ac:dyDescent="0.25">
      <c r="A613" s="87" t="s">
        <v>1343</v>
      </c>
      <c r="B613" s="87" t="s">
        <v>1344</v>
      </c>
      <c r="C613" s="87" t="s">
        <v>120</v>
      </c>
    </row>
    <row r="614" spans="1:3" ht="15" customHeight="1" x14ac:dyDescent="0.25">
      <c r="A614" s="87" t="s">
        <v>1345</v>
      </c>
      <c r="B614" s="87" t="s">
        <v>1346</v>
      </c>
      <c r="C614" s="87" t="s">
        <v>120</v>
      </c>
    </row>
    <row r="615" spans="1:3" ht="15" customHeight="1" x14ac:dyDescent="0.25">
      <c r="A615" s="87" t="s">
        <v>1347</v>
      </c>
      <c r="B615" s="87" t="s">
        <v>1348</v>
      </c>
      <c r="C615" s="87" t="s">
        <v>137</v>
      </c>
    </row>
    <row r="616" spans="1:3" ht="15" customHeight="1" x14ac:dyDescent="0.25">
      <c r="A616" s="87" t="s">
        <v>1349</v>
      </c>
      <c r="B616" s="87" t="s">
        <v>1350</v>
      </c>
      <c r="C616" s="87" t="s">
        <v>137</v>
      </c>
    </row>
    <row r="617" spans="1:3" ht="15" customHeight="1" x14ac:dyDescent="0.25">
      <c r="A617" s="87" t="s">
        <v>1351</v>
      </c>
      <c r="B617" s="87" t="s">
        <v>1352</v>
      </c>
      <c r="C617" s="87" t="s">
        <v>137</v>
      </c>
    </row>
    <row r="618" spans="1:3" ht="15" customHeight="1" x14ac:dyDescent="0.25">
      <c r="A618" s="87" t="s">
        <v>1353</v>
      </c>
      <c r="B618" s="87" t="s">
        <v>1354</v>
      </c>
      <c r="C618" s="87" t="s">
        <v>137</v>
      </c>
    </row>
    <row r="619" spans="1:3" ht="15" customHeight="1" x14ac:dyDescent="0.25">
      <c r="A619" s="87" t="s">
        <v>1355</v>
      </c>
      <c r="B619" s="87" t="s">
        <v>1356</v>
      </c>
      <c r="C619" s="87" t="s">
        <v>120</v>
      </c>
    </row>
    <row r="620" spans="1:3" ht="15" customHeight="1" x14ac:dyDescent="0.25">
      <c r="A620" s="87" t="s">
        <v>1357</v>
      </c>
      <c r="B620" s="87" t="s">
        <v>1358</v>
      </c>
      <c r="C620" s="87" t="s">
        <v>120</v>
      </c>
    </row>
    <row r="621" spans="1:3" ht="15" customHeight="1" x14ac:dyDescent="0.25">
      <c r="A621" s="87" t="s">
        <v>1359</v>
      </c>
      <c r="B621" s="87" t="s">
        <v>1360</v>
      </c>
      <c r="C621" s="87" t="s">
        <v>120</v>
      </c>
    </row>
    <row r="622" spans="1:3" ht="15" customHeight="1" x14ac:dyDescent="0.25">
      <c r="A622" s="87" t="s">
        <v>1361</v>
      </c>
      <c r="B622" s="87" t="s">
        <v>1362</v>
      </c>
      <c r="C622" s="87" t="s">
        <v>120</v>
      </c>
    </row>
    <row r="623" spans="1:3" ht="15" customHeight="1" x14ac:dyDescent="0.25">
      <c r="A623" s="87" t="s">
        <v>1363</v>
      </c>
      <c r="B623" s="87" t="s">
        <v>1364</v>
      </c>
      <c r="C623" s="87" t="s">
        <v>120</v>
      </c>
    </row>
    <row r="624" spans="1:3" ht="15" customHeight="1" x14ac:dyDescent="0.25">
      <c r="A624" s="87" t="s">
        <v>1365</v>
      </c>
      <c r="B624" s="87" t="s">
        <v>1366</v>
      </c>
      <c r="C624" s="87" t="s">
        <v>120</v>
      </c>
    </row>
    <row r="625" spans="1:3" ht="15" customHeight="1" x14ac:dyDescent="0.25">
      <c r="A625" s="87" t="s">
        <v>1367</v>
      </c>
      <c r="B625" s="87" t="s">
        <v>1368</v>
      </c>
      <c r="C625" s="87" t="s">
        <v>137</v>
      </c>
    </row>
    <row r="626" spans="1:3" ht="15" customHeight="1" x14ac:dyDescent="0.25">
      <c r="A626" s="87" t="s">
        <v>1369</v>
      </c>
      <c r="B626" s="87" t="s">
        <v>1370</v>
      </c>
      <c r="C626" s="87" t="s">
        <v>120</v>
      </c>
    </row>
    <row r="627" spans="1:3" ht="15" customHeight="1" x14ac:dyDescent="0.25">
      <c r="A627" s="87" t="s">
        <v>1371</v>
      </c>
      <c r="B627" s="87" t="s">
        <v>1372</v>
      </c>
      <c r="C627" s="87" t="s">
        <v>137</v>
      </c>
    </row>
    <row r="628" spans="1:3" ht="15" customHeight="1" x14ac:dyDescent="0.25">
      <c r="A628" s="87" t="s">
        <v>1373</v>
      </c>
      <c r="B628" s="87" t="s">
        <v>1374</v>
      </c>
      <c r="C628" s="87" t="s">
        <v>120</v>
      </c>
    </row>
    <row r="629" spans="1:3" ht="15" customHeight="1" x14ac:dyDescent="0.25">
      <c r="A629" s="87" t="s">
        <v>1375</v>
      </c>
      <c r="B629" s="87" t="s">
        <v>1376</v>
      </c>
      <c r="C629" s="87" t="s">
        <v>120</v>
      </c>
    </row>
    <row r="630" spans="1:3" ht="15" customHeight="1" x14ac:dyDescent="0.25">
      <c r="A630" s="87" t="s">
        <v>1377</v>
      </c>
      <c r="B630" s="87" t="s">
        <v>1378</v>
      </c>
      <c r="C630" s="87" t="s">
        <v>120</v>
      </c>
    </row>
    <row r="631" spans="1:3" ht="15" customHeight="1" x14ac:dyDescent="0.25">
      <c r="A631" s="87" t="s">
        <v>1379</v>
      </c>
      <c r="B631" s="87" t="s">
        <v>1380</v>
      </c>
      <c r="C631" s="87" t="s">
        <v>137</v>
      </c>
    </row>
    <row r="632" spans="1:3" ht="15" customHeight="1" x14ac:dyDescent="0.25">
      <c r="A632" s="87" t="s">
        <v>1381</v>
      </c>
      <c r="B632" s="87" t="s">
        <v>1382</v>
      </c>
      <c r="C632" s="87" t="s">
        <v>137</v>
      </c>
    </row>
    <row r="633" spans="1:3" ht="15" customHeight="1" x14ac:dyDescent="0.25">
      <c r="A633" s="87" t="s">
        <v>1383</v>
      </c>
      <c r="B633" s="87" t="s">
        <v>1384</v>
      </c>
      <c r="C633" s="87" t="s">
        <v>137</v>
      </c>
    </row>
    <row r="634" spans="1:3" ht="15" customHeight="1" x14ac:dyDescent="0.25">
      <c r="A634" s="87" t="s">
        <v>1385</v>
      </c>
      <c r="B634" s="87" t="s">
        <v>1386</v>
      </c>
      <c r="C634" s="87" t="s">
        <v>120</v>
      </c>
    </row>
    <row r="635" spans="1:3" ht="15" customHeight="1" x14ac:dyDescent="0.25">
      <c r="A635" s="87" t="s">
        <v>1387</v>
      </c>
      <c r="B635" s="87" t="s">
        <v>1388</v>
      </c>
      <c r="C635" s="87" t="s">
        <v>120</v>
      </c>
    </row>
    <row r="636" spans="1:3" ht="15" customHeight="1" x14ac:dyDescent="0.25">
      <c r="A636" s="87" t="s">
        <v>1389</v>
      </c>
      <c r="B636" s="87" t="s">
        <v>1390</v>
      </c>
      <c r="C636" s="87" t="s">
        <v>120</v>
      </c>
    </row>
    <row r="637" spans="1:3" ht="15" customHeight="1" x14ac:dyDescent="0.25">
      <c r="A637" s="87" t="s">
        <v>1391</v>
      </c>
      <c r="B637" s="87" t="s">
        <v>1392</v>
      </c>
      <c r="C637" s="87" t="s">
        <v>137</v>
      </c>
    </row>
    <row r="638" spans="1:3" ht="15" customHeight="1" x14ac:dyDescent="0.25">
      <c r="A638" s="87" t="s">
        <v>1393</v>
      </c>
      <c r="B638" s="87" t="s">
        <v>1394</v>
      </c>
      <c r="C638" s="87" t="s">
        <v>120</v>
      </c>
    </row>
    <row r="639" spans="1:3" ht="15" customHeight="1" x14ac:dyDescent="0.25">
      <c r="A639" s="87" t="s">
        <v>1395</v>
      </c>
      <c r="B639" s="87" t="s">
        <v>1396</v>
      </c>
      <c r="C639" s="87" t="s">
        <v>137</v>
      </c>
    </row>
    <row r="640" spans="1:3" ht="15" customHeight="1" x14ac:dyDescent="0.25">
      <c r="A640" s="87" t="s">
        <v>1397</v>
      </c>
      <c r="B640" s="87" t="s">
        <v>1398</v>
      </c>
      <c r="C640" s="87" t="s">
        <v>137</v>
      </c>
    </row>
    <row r="641" spans="1:3" ht="15" customHeight="1" x14ac:dyDescent="0.25">
      <c r="A641" s="87" t="s">
        <v>1399</v>
      </c>
      <c r="B641" s="87" t="s">
        <v>1400</v>
      </c>
      <c r="C641" s="87" t="s">
        <v>120</v>
      </c>
    </row>
    <row r="642" spans="1:3" ht="15" customHeight="1" x14ac:dyDescent="0.25">
      <c r="A642" s="87" t="s">
        <v>1401</v>
      </c>
      <c r="B642" s="87" t="s">
        <v>1402</v>
      </c>
      <c r="C642" s="87" t="s">
        <v>120</v>
      </c>
    </row>
    <row r="643" spans="1:3" ht="15" customHeight="1" x14ac:dyDescent="0.25">
      <c r="A643" s="87" t="s">
        <v>1403</v>
      </c>
      <c r="B643" s="87" t="s">
        <v>1404</v>
      </c>
      <c r="C643" s="87" t="s">
        <v>120</v>
      </c>
    </row>
    <row r="644" spans="1:3" ht="15" customHeight="1" x14ac:dyDescent="0.25">
      <c r="A644" s="87" t="s">
        <v>1405</v>
      </c>
      <c r="B644" s="87" t="s">
        <v>1406</v>
      </c>
      <c r="C644" s="87" t="s">
        <v>120</v>
      </c>
    </row>
    <row r="645" spans="1:3" ht="15" customHeight="1" x14ac:dyDescent="0.25">
      <c r="A645" s="87" t="s">
        <v>1407</v>
      </c>
      <c r="B645" s="87" t="s">
        <v>1408</v>
      </c>
      <c r="C645" s="87" t="s">
        <v>120</v>
      </c>
    </row>
    <row r="646" spans="1:3" ht="15" customHeight="1" x14ac:dyDescent="0.25">
      <c r="A646" s="87" t="s">
        <v>1409</v>
      </c>
      <c r="B646" s="87" t="s">
        <v>1410</v>
      </c>
      <c r="C646" s="87" t="s">
        <v>120</v>
      </c>
    </row>
    <row r="647" spans="1:3" ht="15" customHeight="1" x14ac:dyDescent="0.25">
      <c r="A647" s="87" t="s">
        <v>1411</v>
      </c>
      <c r="B647" s="87" t="s">
        <v>1412</v>
      </c>
      <c r="C647" s="87" t="s">
        <v>120</v>
      </c>
    </row>
    <row r="648" spans="1:3" ht="15" customHeight="1" x14ac:dyDescent="0.25">
      <c r="A648" s="87" t="s">
        <v>1413</v>
      </c>
      <c r="B648" s="87" t="s">
        <v>1414</v>
      </c>
      <c r="C648" s="87" t="s">
        <v>120</v>
      </c>
    </row>
    <row r="649" spans="1:3" ht="15" customHeight="1" x14ac:dyDescent="0.25">
      <c r="A649" s="87" t="s">
        <v>1415</v>
      </c>
      <c r="B649" s="87" t="s">
        <v>1416</v>
      </c>
      <c r="C649" s="87" t="s">
        <v>120</v>
      </c>
    </row>
    <row r="650" spans="1:3" ht="15" customHeight="1" x14ac:dyDescent="0.25">
      <c r="A650" s="87" t="s">
        <v>1417</v>
      </c>
      <c r="B650" s="87" t="s">
        <v>1418</v>
      </c>
      <c r="C650" s="87" t="s">
        <v>120</v>
      </c>
    </row>
    <row r="651" spans="1:3" ht="15" customHeight="1" x14ac:dyDescent="0.25">
      <c r="A651" s="87" t="s">
        <v>1419</v>
      </c>
      <c r="B651" s="87" t="s">
        <v>1420</v>
      </c>
      <c r="C651" s="87" t="s">
        <v>120</v>
      </c>
    </row>
    <row r="652" spans="1:3" ht="15" customHeight="1" x14ac:dyDescent="0.25">
      <c r="A652" s="87" t="s">
        <v>1421</v>
      </c>
      <c r="B652" s="87" t="s">
        <v>1422</v>
      </c>
      <c r="C652" s="87" t="s">
        <v>120</v>
      </c>
    </row>
    <row r="653" spans="1:3" ht="15" customHeight="1" x14ac:dyDescent="0.25">
      <c r="A653" s="87" t="s">
        <v>1423</v>
      </c>
      <c r="B653" s="87" t="s">
        <v>1424</v>
      </c>
      <c r="C653" s="87" t="s">
        <v>137</v>
      </c>
    </row>
    <row r="654" spans="1:3" ht="15" customHeight="1" x14ac:dyDescent="0.25">
      <c r="A654" s="87" t="s">
        <v>1425</v>
      </c>
      <c r="B654" s="87" t="s">
        <v>1426</v>
      </c>
      <c r="C654" s="87" t="s">
        <v>120</v>
      </c>
    </row>
    <row r="655" spans="1:3" ht="15" customHeight="1" x14ac:dyDescent="0.25">
      <c r="A655" s="87" t="s">
        <v>1427</v>
      </c>
      <c r="B655" s="87" t="s">
        <v>1428</v>
      </c>
      <c r="C655" s="87" t="s">
        <v>120</v>
      </c>
    </row>
    <row r="656" spans="1:3" ht="15" customHeight="1" x14ac:dyDescent="0.25">
      <c r="A656" s="87" t="s">
        <v>1429</v>
      </c>
      <c r="B656" s="87" t="s">
        <v>1430</v>
      </c>
      <c r="C656" s="87" t="s">
        <v>120</v>
      </c>
    </row>
    <row r="657" spans="1:3" ht="15" customHeight="1" x14ac:dyDescent="0.25">
      <c r="A657" s="87" t="s">
        <v>1431</v>
      </c>
      <c r="B657" s="87" t="s">
        <v>1432</v>
      </c>
      <c r="C657" s="87" t="s">
        <v>137</v>
      </c>
    </row>
    <row r="658" spans="1:3" ht="15" customHeight="1" x14ac:dyDescent="0.25">
      <c r="A658" s="87" t="s">
        <v>1433</v>
      </c>
      <c r="B658" s="87" t="s">
        <v>1434</v>
      </c>
      <c r="C658" s="87" t="s">
        <v>137</v>
      </c>
    </row>
    <row r="659" spans="1:3" ht="15" customHeight="1" x14ac:dyDescent="0.25">
      <c r="A659" s="87" t="s">
        <v>1435</v>
      </c>
      <c r="B659" s="87" t="s">
        <v>1436</v>
      </c>
      <c r="C659" s="87" t="s">
        <v>137</v>
      </c>
    </row>
    <row r="660" spans="1:3" ht="15" customHeight="1" x14ac:dyDescent="0.25">
      <c r="A660" s="87" t="s">
        <v>1437</v>
      </c>
      <c r="B660" s="87" t="s">
        <v>1438</v>
      </c>
      <c r="C660" s="87" t="s">
        <v>120</v>
      </c>
    </row>
    <row r="661" spans="1:3" ht="15" customHeight="1" x14ac:dyDescent="0.25">
      <c r="A661" s="87" t="s">
        <v>1439</v>
      </c>
      <c r="B661" s="87" t="s">
        <v>1440</v>
      </c>
      <c r="C661" s="87" t="s">
        <v>137</v>
      </c>
    </row>
    <row r="662" spans="1:3" ht="15" customHeight="1" x14ac:dyDescent="0.25">
      <c r="A662" s="87" t="s">
        <v>1441</v>
      </c>
      <c r="B662" s="87" t="s">
        <v>1442</v>
      </c>
      <c r="C662" s="87" t="s">
        <v>120</v>
      </c>
    </row>
    <row r="663" spans="1:3" ht="15" customHeight="1" x14ac:dyDescent="0.25">
      <c r="A663" s="87" t="s">
        <v>1443</v>
      </c>
      <c r="B663" s="87" t="s">
        <v>1444</v>
      </c>
      <c r="C663" s="87" t="s">
        <v>120</v>
      </c>
    </row>
    <row r="664" spans="1:3" ht="15" customHeight="1" x14ac:dyDescent="0.25">
      <c r="A664" s="87" t="s">
        <v>1445</v>
      </c>
      <c r="B664" s="87" t="s">
        <v>1446</v>
      </c>
      <c r="C664" s="87" t="s">
        <v>120</v>
      </c>
    </row>
    <row r="665" spans="1:3" ht="15" customHeight="1" x14ac:dyDescent="0.25">
      <c r="A665" s="87" t="s">
        <v>1447</v>
      </c>
      <c r="B665" s="87" t="s">
        <v>1448</v>
      </c>
      <c r="C665" s="87" t="s">
        <v>120</v>
      </c>
    </row>
    <row r="666" spans="1:3" ht="15" customHeight="1" x14ac:dyDescent="0.25">
      <c r="A666" s="87" t="s">
        <v>1449</v>
      </c>
      <c r="B666" s="87" t="s">
        <v>1450</v>
      </c>
      <c r="C666" s="87" t="s">
        <v>120</v>
      </c>
    </row>
    <row r="667" spans="1:3" ht="15" customHeight="1" x14ac:dyDescent="0.25">
      <c r="A667" s="87" t="s">
        <v>1451</v>
      </c>
      <c r="B667" s="87" t="s">
        <v>1452</v>
      </c>
      <c r="C667" s="87" t="s">
        <v>120</v>
      </c>
    </row>
    <row r="668" spans="1:3" ht="15" customHeight="1" x14ac:dyDescent="0.25">
      <c r="A668" s="87" t="s">
        <v>1453</v>
      </c>
      <c r="B668" s="87" t="s">
        <v>1454</v>
      </c>
      <c r="C668" s="87" t="s">
        <v>120</v>
      </c>
    </row>
    <row r="669" spans="1:3" ht="15" customHeight="1" x14ac:dyDescent="0.25">
      <c r="A669" s="87" t="s">
        <v>1455</v>
      </c>
      <c r="B669" s="87" t="s">
        <v>1456</v>
      </c>
      <c r="C669" s="87" t="s">
        <v>120</v>
      </c>
    </row>
    <row r="670" spans="1:3" ht="15" customHeight="1" x14ac:dyDescent="0.25">
      <c r="A670" s="87" t="s">
        <v>1457</v>
      </c>
      <c r="B670" s="87" t="s">
        <v>1458</v>
      </c>
      <c r="C670" s="87" t="s">
        <v>120</v>
      </c>
    </row>
    <row r="671" spans="1:3" ht="15" customHeight="1" x14ac:dyDescent="0.25">
      <c r="A671" s="87" t="s">
        <v>1459</v>
      </c>
      <c r="B671" s="87" t="s">
        <v>1460</v>
      </c>
      <c r="C671" s="87" t="s">
        <v>120</v>
      </c>
    </row>
    <row r="672" spans="1:3" ht="15" customHeight="1" x14ac:dyDescent="0.25">
      <c r="A672" s="87" t="s">
        <v>1461</v>
      </c>
      <c r="B672" s="87" t="s">
        <v>1462</v>
      </c>
      <c r="C672" s="87" t="s">
        <v>137</v>
      </c>
    </row>
    <row r="673" spans="1:3" ht="15" customHeight="1" x14ac:dyDescent="0.25">
      <c r="A673" s="87" t="s">
        <v>1463</v>
      </c>
      <c r="B673" s="87" t="s">
        <v>1464</v>
      </c>
      <c r="C673" s="87" t="s">
        <v>137</v>
      </c>
    </row>
    <row r="674" spans="1:3" ht="15" customHeight="1" x14ac:dyDescent="0.25">
      <c r="A674" s="87" t="s">
        <v>1465</v>
      </c>
      <c r="B674" s="87" t="s">
        <v>1466</v>
      </c>
      <c r="C674" s="87" t="s">
        <v>120</v>
      </c>
    </row>
    <row r="675" spans="1:3" ht="15" customHeight="1" x14ac:dyDescent="0.25">
      <c r="A675" s="87" t="s">
        <v>1467</v>
      </c>
      <c r="B675" s="87" t="s">
        <v>1468</v>
      </c>
      <c r="C675" s="87" t="s">
        <v>137</v>
      </c>
    </row>
    <row r="676" spans="1:3" ht="15" customHeight="1" x14ac:dyDescent="0.25">
      <c r="A676" s="87" t="s">
        <v>1469</v>
      </c>
      <c r="B676" s="87" t="s">
        <v>1470</v>
      </c>
      <c r="C676" s="87" t="s">
        <v>120</v>
      </c>
    </row>
    <row r="677" spans="1:3" ht="15" customHeight="1" x14ac:dyDescent="0.25">
      <c r="A677" s="87" t="s">
        <v>1471</v>
      </c>
      <c r="B677" s="87" t="s">
        <v>1472</v>
      </c>
      <c r="C677" s="87" t="s">
        <v>137</v>
      </c>
    </row>
    <row r="678" spans="1:3" ht="15" customHeight="1" x14ac:dyDescent="0.25">
      <c r="A678" s="87" t="s">
        <v>1473</v>
      </c>
      <c r="B678" s="87" t="s">
        <v>1474</v>
      </c>
      <c r="C678" s="87" t="s">
        <v>120</v>
      </c>
    </row>
    <row r="679" spans="1:3" ht="15" customHeight="1" x14ac:dyDescent="0.25">
      <c r="A679" s="87" t="s">
        <v>1475</v>
      </c>
      <c r="B679" s="87" t="s">
        <v>1476</v>
      </c>
      <c r="C679" s="87" t="s">
        <v>120</v>
      </c>
    </row>
    <row r="680" spans="1:3" ht="15" customHeight="1" x14ac:dyDescent="0.25">
      <c r="A680" s="87" t="s">
        <v>1477</v>
      </c>
      <c r="B680" s="87" t="s">
        <v>1478</v>
      </c>
      <c r="C680" s="87" t="s">
        <v>137</v>
      </c>
    </row>
    <row r="681" spans="1:3" ht="15" customHeight="1" x14ac:dyDescent="0.25">
      <c r="A681" s="87" t="s">
        <v>1479</v>
      </c>
      <c r="B681" s="87" t="s">
        <v>1480</v>
      </c>
      <c r="C681" s="87" t="s">
        <v>137</v>
      </c>
    </row>
    <row r="682" spans="1:3" ht="15" customHeight="1" x14ac:dyDescent="0.25">
      <c r="A682" s="87" t="s">
        <v>1481</v>
      </c>
      <c r="B682" s="87" t="s">
        <v>1482</v>
      </c>
      <c r="C682" s="87" t="s">
        <v>137</v>
      </c>
    </row>
    <row r="683" spans="1:3" ht="15" customHeight="1" x14ac:dyDescent="0.25">
      <c r="A683" s="87" t="s">
        <v>1483</v>
      </c>
      <c r="B683" s="87" t="s">
        <v>1484</v>
      </c>
      <c r="C683" s="87" t="s">
        <v>137</v>
      </c>
    </row>
    <row r="684" spans="1:3" ht="15" customHeight="1" x14ac:dyDescent="0.25">
      <c r="A684" s="87" t="s">
        <v>1485</v>
      </c>
      <c r="B684" s="87" t="s">
        <v>1486</v>
      </c>
      <c r="C684" s="87" t="s">
        <v>120</v>
      </c>
    </row>
    <row r="685" spans="1:3" ht="15" customHeight="1" x14ac:dyDescent="0.25">
      <c r="A685" s="87" t="s">
        <v>1487</v>
      </c>
      <c r="B685" s="87" t="s">
        <v>1488</v>
      </c>
      <c r="C685" s="87" t="s">
        <v>120</v>
      </c>
    </row>
    <row r="686" spans="1:3" ht="15" customHeight="1" x14ac:dyDescent="0.25">
      <c r="A686" s="87" t="s">
        <v>1489</v>
      </c>
      <c r="B686" s="87" t="s">
        <v>1490</v>
      </c>
      <c r="C686" s="87" t="s">
        <v>120</v>
      </c>
    </row>
    <row r="687" spans="1:3" ht="15" customHeight="1" x14ac:dyDescent="0.25">
      <c r="A687" s="87" t="s">
        <v>1491</v>
      </c>
      <c r="B687" s="87" t="s">
        <v>1492</v>
      </c>
      <c r="C687" s="87" t="s">
        <v>120</v>
      </c>
    </row>
    <row r="688" spans="1:3" ht="15" customHeight="1" x14ac:dyDescent="0.25">
      <c r="A688" s="87" t="s">
        <v>1493</v>
      </c>
      <c r="B688" s="87" t="s">
        <v>1494</v>
      </c>
      <c r="C688" s="87" t="s">
        <v>120</v>
      </c>
    </row>
    <row r="689" spans="1:3" ht="15" customHeight="1" x14ac:dyDescent="0.25">
      <c r="A689" s="87" t="s">
        <v>1495</v>
      </c>
      <c r="B689" s="87" t="s">
        <v>1496</v>
      </c>
      <c r="C689" s="87" t="s">
        <v>120</v>
      </c>
    </row>
    <row r="690" spans="1:3" ht="15" customHeight="1" x14ac:dyDescent="0.25">
      <c r="A690" s="87" t="s">
        <v>1497</v>
      </c>
      <c r="B690" s="87" t="s">
        <v>1498</v>
      </c>
      <c r="C690" s="87" t="s">
        <v>120</v>
      </c>
    </row>
    <row r="691" spans="1:3" ht="15" customHeight="1" x14ac:dyDescent="0.25">
      <c r="A691" s="87" t="s">
        <v>1499</v>
      </c>
      <c r="B691" s="87" t="s">
        <v>1500</v>
      </c>
      <c r="C691" s="87" t="s">
        <v>120</v>
      </c>
    </row>
    <row r="692" spans="1:3" ht="15" customHeight="1" x14ac:dyDescent="0.25">
      <c r="A692" s="87" t="s">
        <v>1501</v>
      </c>
      <c r="B692" s="87" t="s">
        <v>1502</v>
      </c>
      <c r="C692" s="87" t="s">
        <v>120</v>
      </c>
    </row>
    <row r="693" spans="1:3" ht="15" customHeight="1" x14ac:dyDescent="0.25">
      <c r="A693" s="87" t="s">
        <v>1503</v>
      </c>
      <c r="B693" s="87" t="s">
        <v>1504</v>
      </c>
      <c r="C693" s="87" t="s">
        <v>120</v>
      </c>
    </row>
    <row r="694" spans="1:3" ht="15" customHeight="1" x14ac:dyDescent="0.25">
      <c r="A694" s="87" t="s">
        <v>1505</v>
      </c>
      <c r="B694" s="87" t="s">
        <v>1506</v>
      </c>
      <c r="C694" s="87" t="s">
        <v>120</v>
      </c>
    </row>
    <row r="695" spans="1:3" ht="15" customHeight="1" x14ac:dyDescent="0.25">
      <c r="A695" s="87" t="s">
        <v>1507</v>
      </c>
      <c r="B695" s="87" t="s">
        <v>1508</v>
      </c>
      <c r="C695" s="87" t="s">
        <v>120</v>
      </c>
    </row>
    <row r="696" spans="1:3" ht="15" customHeight="1" x14ac:dyDescent="0.25">
      <c r="A696" s="87" t="s">
        <v>1509</v>
      </c>
      <c r="B696" s="87" t="s">
        <v>1510</v>
      </c>
      <c r="C696" s="87" t="s">
        <v>120</v>
      </c>
    </row>
    <row r="697" spans="1:3" ht="15" customHeight="1" x14ac:dyDescent="0.25">
      <c r="A697" s="87" t="s">
        <v>1511</v>
      </c>
      <c r="B697" s="87" t="s">
        <v>1512</v>
      </c>
      <c r="C697" s="87" t="s">
        <v>120</v>
      </c>
    </row>
    <row r="698" spans="1:3" ht="15" customHeight="1" x14ac:dyDescent="0.25">
      <c r="A698" s="87" t="s">
        <v>1513</v>
      </c>
      <c r="B698" s="87" t="s">
        <v>1514</v>
      </c>
      <c r="C698" s="87" t="s">
        <v>120</v>
      </c>
    </row>
    <row r="699" spans="1:3" ht="15" customHeight="1" x14ac:dyDescent="0.25">
      <c r="A699" s="87" t="s">
        <v>1515</v>
      </c>
      <c r="B699" s="87" t="s">
        <v>1516</v>
      </c>
      <c r="C699" s="87" t="s">
        <v>120</v>
      </c>
    </row>
    <row r="700" spans="1:3" ht="15" customHeight="1" x14ac:dyDescent="0.25">
      <c r="A700" s="87" t="s">
        <v>1517</v>
      </c>
      <c r="B700" s="87" t="s">
        <v>1518</v>
      </c>
      <c r="C700" s="87" t="s">
        <v>120</v>
      </c>
    </row>
    <row r="701" spans="1:3" ht="15" customHeight="1" x14ac:dyDescent="0.25">
      <c r="A701" s="87" t="s">
        <v>1519</v>
      </c>
      <c r="B701" s="87" t="s">
        <v>1520</v>
      </c>
      <c r="C701" s="87" t="s">
        <v>120</v>
      </c>
    </row>
    <row r="702" spans="1:3" ht="15" customHeight="1" x14ac:dyDescent="0.25">
      <c r="A702" s="87" t="s">
        <v>1521</v>
      </c>
      <c r="B702" s="87" t="s">
        <v>1522</v>
      </c>
      <c r="C702" s="87" t="s">
        <v>137</v>
      </c>
    </row>
    <row r="703" spans="1:3" ht="15" customHeight="1" x14ac:dyDescent="0.25">
      <c r="A703" s="87" t="s">
        <v>1523</v>
      </c>
      <c r="B703" s="87" t="s">
        <v>1524</v>
      </c>
      <c r="C703" s="87" t="s">
        <v>137</v>
      </c>
    </row>
    <row r="704" spans="1:3" ht="15" customHeight="1" x14ac:dyDescent="0.25">
      <c r="A704" s="87" t="s">
        <v>1525</v>
      </c>
      <c r="B704" s="87" t="s">
        <v>1526</v>
      </c>
      <c r="C704" s="87" t="s">
        <v>137</v>
      </c>
    </row>
    <row r="705" spans="1:3" ht="15" customHeight="1" x14ac:dyDescent="0.25">
      <c r="A705" s="87" t="s">
        <v>1527</v>
      </c>
      <c r="B705" s="87" t="s">
        <v>1528</v>
      </c>
      <c r="C705" s="87" t="s">
        <v>137</v>
      </c>
    </row>
    <row r="706" spans="1:3" ht="15" customHeight="1" x14ac:dyDescent="0.25">
      <c r="A706" s="87" t="s">
        <v>1529</v>
      </c>
      <c r="B706" s="87" t="s">
        <v>1530</v>
      </c>
      <c r="C706" s="87" t="s">
        <v>137</v>
      </c>
    </row>
    <row r="707" spans="1:3" ht="15" customHeight="1" x14ac:dyDescent="0.25">
      <c r="A707" s="87" t="s">
        <v>1531</v>
      </c>
      <c r="B707" s="87" t="s">
        <v>1532</v>
      </c>
      <c r="C707" s="87" t="s">
        <v>137</v>
      </c>
    </row>
    <row r="708" spans="1:3" ht="15" customHeight="1" x14ac:dyDescent="0.25">
      <c r="A708" s="87" t="s">
        <v>1533</v>
      </c>
      <c r="B708" s="87" t="s">
        <v>1534</v>
      </c>
      <c r="C708" s="87" t="s">
        <v>120</v>
      </c>
    </row>
    <row r="709" spans="1:3" ht="15" customHeight="1" x14ac:dyDescent="0.25">
      <c r="A709" s="87" t="s">
        <v>1535</v>
      </c>
      <c r="B709" s="87" t="s">
        <v>1536</v>
      </c>
      <c r="C709" s="87" t="s">
        <v>137</v>
      </c>
    </row>
    <row r="710" spans="1:3" ht="15" customHeight="1" x14ac:dyDescent="0.25">
      <c r="A710" s="87" t="s">
        <v>1537</v>
      </c>
      <c r="B710" s="87" t="s">
        <v>1538</v>
      </c>
      <c r="C710" s="87" t="s">
        <v>120</v>
      </c>
    </row>
    <row r="711" spans="1:3" ht="15" customHeight="1" x14ac:dyDescent="0.25">
      <c r="A711" s="87" t="s">
        <v>1539</v>
      </c>
      <c r="B711" s="87" t="s">
        <v>1540</v>
      </c>
      <c r="C711" s="87" t="s">
        <v>137</v>
      </c>
    </row>
    <row r="712" spans="1:3" ht="15" customHeight="1" x14ac:dyDescent="0.25">
      <c r="A712" s="87" t="s">
        <v>1541</v>
      </c>
      <c r="B712" s="87" t="s">
        <v>1542</v>
      </c>
      <c r="C712" s="87" t="s">
        <v>137</v>
      </c>
    </row>
    <row r="713" spans="1:3" ht="15" customHeight="1" x14ac:dyDescent="0.25">
      <c r="A713" s="87" t="s">
        <v>1543</v>
      </c>
      <c r="B713" s="87" t="s">
        <v>1544</v>
      </c>
      <c r="C713" s="87" t="s">
        <v>137</v>
      </c>
    </row>
    <row r="714" spans="1:3" ht="15" customHeight="1" x14ac:dyDescent="0.25">
      <c r="A714" s="87" t="s">
        <v>1545</v>
      </c>
      <c r="B714" s="87" t="s">
        <v>1546</v>
      </c>
      <c r="C714" s="87" t="s">
        <v>137</v>
      </c>
    </row>
    <row r="715" spans="1:3" ht="15" customHeight="1" x14ac:dyDescent="0.25">
      <c r="A715" s="87" t="s">
        <v>1547</v>
      </c>
      <c r="B715" s="87" t="s">
        <v>1548</v>
      </c>
      <c r="C715" s="87" t="s">
        <v>120</v>
      </c>
    </row>
    <row r="716" spans="1:3" ht="15" customHeight="1" x14ac:dyDescent="0.25">
      <c r="A716" s="87" t="s">
        <v>1549</v>
      </c>
      <c r="B716" s="87" t="s">
        <v>1550</v>
      </c>
      <c r="C716" s="87" t="s">
        <v>120</v>
      </c>
    </row>
    <row r="717" spans="1:3" ht="15" customHeight="1" x14ac:dyDescent="0.25">
      <c r="A717" s="87" t="s">
        <v>1551</v>
      </c>
      <c r="B717" s="87" t="s">
        <v>1552</v>
      </c>
      <c r="C717" s="87" t="s">
        <v>120</v>
      </c>
    </row>
    <row r="718" spans="1:3" ht="15" customHeight="1" x14ac:dyDescent="0.25">
      <c r="A718" s="87" t="s">
        <v>1553</v>
      </c>
      <c r="B718" s="87" t="s">
        <v>1554</v>
      </c>
      <c r="C718" s="87" t="s">
        <v>120</v>
      </c>
    </row>
    <row r="719" spans="1:3" ht="15" customHeight="1" x14ac:dyDescent="0.25">
      <c r="A719" s="87" t="s">
        <v>1555</v>
      </c>
      <c r="B719" s="87" t="s">
        <v>1556</v>
      </c>
      <c r="C719" s="87" t="s">
        <v>120</v>
      </c>
    </row>
    <row r="720" spans="1:3" ht="15" customHeight="1" x14ac:dyDescent="0.25">
      <c r="A720" s="87" t="s">
        <v>1557</v>
      </c>
      <c r="B720" s="87" t="s">
        <v>1558</v>
      </c>
      <c r="C720" s="87" t="s">
        <v>120</v>
      </c>
    </row>
    <row r="721" spans="1:3" ht="15" customHeight="1" x14ac:dyDescent="0.25">
      <c r="A721" s="87" t="s">
        <v>1559</v>
      </c>
      <c r="B721" s="87" t="s">
        <v>1560</v>
      </c>
      <c r="C721" s="87" t="s">
        <v>120</v>
      </c>
    </row>
    <row r="722" spans="1:3" ht="15" customHeight="1" x14ac:dyDescent="0.25">
      <c r="A722" s="87" t="s">
        <v>1561</v>
      </c>
      <c r="B722" s="87" t="s">
        <v>1562</v>
      </c>
      <c r="C722" s="87" t="s">
        <v>120</v>
      </c>
    </row>
    <row r="723" spans="1:3" ht="15" customHeight="1" x14ac:dyDescent="0.25">
      <c r="A723" s="87" t="s">
        <v>1563</v>
      </c>
      <c r="B723" s="87" t="s">
        <v>1564</v>
      </c>
      <c r="C723" s="87" t="s">
        <v>120</v>
      </c>
    </row>
    <row r="724" spans="1:3" ht="15" customHeight="1" x14ac:dyDescent="0.25">
      <c r="A724" s="87" t="s">
        <v>1565</v>
      </c>
      <c r="B724" s="87" t="s">
        <v>1566</v>
      </c>
      <c r="C724" s="87" t="s">
        <v>120</v>
      </c>
    </row>
    <row r="725" spans="1:3" ht="15" customHeight="1" x14ac:dyDescent="0.25">
      <c r="A725" s="87" t="s">
        <v>1567</v>
      </c>
      <c r="B725" s="87" t="s">
        <v>1568</v>
      </c>
      <c r="C725" s="87" t="s">
        <v>137</v>
      </c>
    </row>
    <row r="726" spans="1:3" ht="15" customHeight="1" x14ac:dyDescent="0.25">
      <c r="A726" s="87" t="s">
        <v>1569</v>
      </c>
      <c r="B726" s="87" t="s">
        <v>1570</v>
      </c>
      <c r="C726" s="87" t="s">
        <v>120</v>
      </c>
    </row>
    <row r="727" spans="1:3" ht="15" customHeight="1" x14ac:dyDescent="0.25">
      <c r="A727" s="87" t="s">
        <v>1571</v>
      </c>
      <c r="B727" s="87" t="s">
        <v>1572</v>
      </c>
      <c r="C727" s="87" t="s">
        <v>137</v>
      </c>
    </row>
    <row r="728" spans="1:3" ht="15" customHeight="1" x14ac:dyDescent="0.25">
      <c r="A728" s="87" t="s">
        <v>1573</v>
      </c>
      <c r="B728" s="87" t="s">
        <v>1574</v>
      </c>
      <c r="C728" s="87" t="s">
        <v>120</v>
      </c>
    </row>
    <row r="729" spans="1:3" ht="15" customHeight="1" x14ac:dyDescent="0.25">
      <c r="A729" s="87" t="s">
        <v>1575</v>
      </c>
      <c r="B729" s="87" t="s">
        <v>1576</v>
      </c>
      <c r="C729" s="87" t="s">
        <v>120</v>
      </c>
    </row>
    <row r="730" spans="1:3" ht="15" customHeight="1" x14ac:dyDescent="0.25">
      <c r="A730" s="87" t="s">
        <v>1577</v>
      </c>
      <c r="B730" s="87" t="s">
        <v>1578</v>
      </c>
      <c r="C730" s="87" t="s">
        <v>120</v>
      </c>
    </row>
    <row r="731" spans="1:3" ht="15" customHeight="1" x14ac:dyDescent="0.25">
      <c r="A731" s="87" t="s">
        <v>1579</v>
      </c>
      <c r="B731" s="87" t="s">
        <v>1580</v>
      </c>
      <c r="C731" s="87" t="s">
        <v>120</v>
      </c>
    </row>
    <row r="732" spans="1:3" ht="15" customHeight="1" x14ac:dyDescent="0.25">
      <c r="A732" s="87" t="s">
        <v>1581</v>
      </c>
      <c r="B732" s="87" t="s">
        <v>1582</v>
      </c>
      <c r="C732" s="87" t="s">
        <v>120</v>
      </c>
    </row>
    <row r="733" spans="1:3" ht="15" customHeight="1" x14ac:dyDescent="0.25">
      <c r="A733" s="87" t="s">
        <v>1583</v>
      </c>
      <c r="B733" s="87" t="s">
        <v>1584</v>
      </c>
      <c r="C733" s="87" t="s">
        <v>120</v>
      </c>
    </row>
    <row r="734" spans="1:3" ht="15" customHeight="1" x14ac:dyDescent="0.25">
      <c r="A734" s="87" t="s">
        <v>1585</v>
      </c>
      <c r="B734" s="87" t="s">
        <v>1586</v>
      </c>
      <c r="C734" s="87" t="s">
        <v>120</v>
      </c>
    </row>
    <row r="735" spans="1:3" ht="15" customHeight="1" x14ac:dyDescent="0.25">
      <c r="A735" s="87" t="s">
        <v>1587</v>
      </c>
      <c r="B735" s="87" t="s">
        <v>1588</v>
      </c>
      <c r="C735" s="87" t="s">
        <v>120</v>
      </c>
    </row>
    <row r="736" spans="1:3" ht="15" customHeight="1" x14ac:dyDescent="0.25">
      <c r="A736" s="87" t="s">
        <v>1589</v>
      </c>
      <c r="B736" s="87" t="s">
        <v>1590</v>
      </c>
      <c r="C736" s="87" t="s">
        <v>137</v>
      </c>
    </row>
    <row r="737" spans="1:3" ht="15" customHeight="1" x14ac:dyDescent="0.25">
      <c r="A737" s="87" t="s">
        <v>1591</v>
      </c>
      <c r="B737" s="87" t="s">
        <v>1592</v>
      </c>
      <c r="C737" s="87" t="s">
        <v>137</v>
      </c>
    </row>
    <row r="738" spans="1:3" ht="15" customHeight="1" x14ac:dyDescent="0.25">
      <c r="A738" s="87" t="s">
        <v>1593</v>
      </c>
      <c r="B738" s="87" t="s">
        <v>1594</v>
      </c>
      <c r="C738" s="87" t="s">
        <v>137</v>
      </c>
    </row>
    <row r="739" spans="1:3" ht="15" customHeight="1" x14ac:dyDescent="0.25">
      <c r="A739" s="87" t="s">
        <v>1595</v>
      </c>
      <c r="B739" s="87" t="s">
        <v>1596</v>
      </c>
      <c r="C739" s="87" t="s">
        <v>137</v>
      </c>
    </row>
    <row r="740" spans="1:3" ht="15" customHeight="1" x14ac:dyDescent="0.25">
      <c r="A740" s="87" t="s">
        <v>1597</v>
      </c>
      <c r="B740" s="87" t="s">
        <v>1598</v>
      </c>
      <c r="C740" s="87" t="s">
        <v>137</v>
      </c>
    </row>
    <row r="741" spans="1:3" ht="15" customHeight="1" x14ac:dyDescent="0.25">
      <c r="A741" s="87" t="s">
        <v>1599</v>
      </c>
      <c r="B741" s="87" t="s">
        <v>1600</v>
      </c>
      <c r="C741" s="87" t="s">
        <v>120</v>
      </c>
    </row>
    <row r="742" spans="1:3" ht="15" customHeight="1" x14ac:dyDescent="0.25">
      <c r="A742" s="87" t="s">
        <v>1601</v>
      </c>
      <c r="B742" s="87" t="s">
        <v>1602</v>
      </c>
      <c r="C742" s="87" t="s">
        <v>120</v>
      </c>
    </row>
    <row r="743" spans="1:3" ht="15" customHeight="1" x14ac:dyDescent="0.25">
      <c r="A743" s="87" t="s">
        <v>1603</v>
      </c>
      <c r="B743" s="87" t="s">
        <v>1604</v>
      </c>
      <c r="C743" s="87" t="s">
        <v>120</v>
      </c>
    </row>
    <row r="744" spans="1:3" ht="15" customHeight="1" x14ac:dyDescent="0.25">
      <c r="A744" s="87" t="s">
        <v>1605</v>
      </c>
      <c r="B744" s="87" t="s">
        <v>1606</v>
      </c>
      <c r="C744" s="87" t="s">
        <v>120</v>
      </c>
    </row>
    <row r="745" spans="1:3" ht="15" customHeight="1" x14ac:dyDescent="0.25">
      <c r="A745" s="87" t="s">
        <v>1607</v>
      </c>
      <c r="B745" s="87" t="s">
        <v>1608</v>
      </c>
      <c r="C745" s="87" t="s">
        <v>120</v>
      </c>
    </row>
    <row r="746" spans="1:3" ht="15" customHeight="1" x14ac:dyDescent="0.25">
      <c r="A746" s="87" t="s">
        <v>1609</v>
      </c>
      <c r="B746" s="87" t="s">
        <v>1610</v>
      </c>
      <c r="C746" s="87" t="s">
        <v>120</v>
      </c>
    </row>
    <row r="747" spans="1:3" ht="15" customHeight="1" x14ac:dyDescent="0.25">
      <c r="A747" s="87" t="s">
        <v>1611</v>
      </c>
      <c r="B747" s="87" t="s">
        <v>1612</v>
      </c>
      <c r="C747" s="87" t="s">
        <v>137</v>
      </c>
    </row>
    <row r="748" spans="1:3" ht="15" customHeight="1" x14ac:dyDescent="0.25">
      <c r="A748" s="87" t="s">
        <v>1613</v>
      </c>
      <c r="B748" s="87" t="s">
        <v>1614</v>
      </c>
      <c r="C748" s="87" t="s">
        <v>137</v>
      </c>
    </row>
    <row r="749" spans="1:3" ht="15" customHeight="1" x14ac:dyDescent="0.25">
      <c r="A749" s="87" t="s">
        <v>1615</v>
      </c>
      <c r="B749" s="87" t="s">
        <v>1616</v>
      </c>
      <c r="C749" s="87" t="s">
        <v>137</v>
      </c>
    </row>
    <row r="750" spans="1:3" ht="15" customHeight="1" x14ac:dyDescent="0.25">
      <c r="A750" s="87" t="s">
        <v>1617</v>
      </c>
      <c r="B750" s="87" t="s">
        <v>1618</v>
      </c>
      <c r="C750" s="87" t="s">
        <v>120</v>
      </c>
    </row>
    <row r="751" spans="1:3" ht="15" customHeight="1" x14ac:dyDescent="0.25">
      <c r="A751" s="87" t="s">
        <v>1619</v>
      </c>
      <c r="B751" s="87" t="s">
        <v>1620</v>
      </c>
      <c r="C751" s="87" t="s">
        <v>120</v>
      </c>
    </row>
    <row r="752" spans="1:3" ht="15" customHeight="1" x14ac:dyDescent="0.25">
      <c r="A752" s="87" t="s">
        <v>1621</v>
      </c>
      <c r="B752" s="87" t="s">
        <v>1622</v>
      </c>
      <c r="C752" s="87" t="s">
        <v>137</v>
      </c>
    </row>
    <row r="753" spans="1:3" ht="15" customHeight="1" x14ac:dyDescent="0.25">
      <c r="A753" s="87" t="s">
        <v>1623</v>
      </c>
      <c r="B753" s="87" t="s">
        <v>1624</v>
      </c>
      <c r="C753" s="87" t="s">
        <v>137</v>
      </c>
    </row>
    <row r="754" spans="1:3" ht="15" customHeight="1" x14ac:dyDescent="0.25">
      <c r="A754" s="87" t="s">
        <v>1625</v>
      </c>
      <c r="B754" s="87" t="s">
        <v>1626</v>
      </c>
      <c r="C754" s="87" t="s">
        <v>137</v>
      </c>
    </row>
    <row r="755" spans="1:3" ht="15" customHeight="1" x14ac:dyDescent="0.25">
      <c r="A755" s="87" t="s">
        <v>1627</v>
      </c>
      <c r="B755" s="87" t="s">
        <v>1628</v>
      </c>
      <c r="C755" s="87" t="s">
        <v>137</v>
      </c>
    </row>
    <row r="756" spans="1:3" ht="15" customHeight="1" x14ac:dyDescent="0.25">
      <c r="A756" s="87" t="s">
        <v>1629</v>
      </c>
      <c r="B756" s="87" t="s">
        <v>1630</v>
      </c>
      <c r="C756" s="87" t="s">
        <v>137</v>
      </c>
    </row>
    <row r="757" spans="1:3" ht="15" customHeight="1" x14ac:dyDescent="0.25">
      <c r="A757" s="87" t="s">
        <v>1631</v>
      </c>
      <c r="B757" s="87" t="s">
        <v>1632</v>
      </c>
      <c r="C757" s="87" t="s">
        <v>137</v>
      </c>
    </row>
    <row r="758" spans="1:3" ht="15" customHeight="1" x14ac:dyDescent="0.25">
      <c r="A758" s="87" t="s">
        <v>1633</v>
      </c>
      <c r="B758" s="87" t="s">
        <v>1634</v>
      </c>
      <c r="C758" s="87" t="s">
        <v>137</v>
      </c>
    </row>
    <row r="759" spans="1:3" ht="15" customHeight="1" x14ac:dyDescent="0.25">
      <c r="A759" s="87" t="s">
        <v>1635</v>
      </c>
      <c r="B759" s="87" t="s">
        <v>1636</v>
      </c>
      <c r="C759" s="87" t="s">
        <v>137</v>
      </c>
    </row>
    <row r="760" spans="1:3" ht="15" customHeight="1" x14ac:dyDescent="0.25">
      <c r="A760" s="87" t="s">
        <v>1637</v>
      </c>
      <c r="B760" s="87" t="s">
        <v>1638</v>
      </c>
      <c r="C760" s="87" t="s">
        <v>137</v>
      </c>
    </row>
    <row r="761" spans="1:3" ht="15" customHeight="1" x14ac:dyDescent="0.25">
      <c r="A761" s="87" t="s">
        <v>1639</v>
      </c>
      <c r="B761" s="87" t="s">
        <v>1640</v>
      </c>
      <c r="C761" s="87" t="s">
        <v>137</v>
      </c>
    </row>
    <row r="762" spans="1:3" ht="15" customHeight="1" x14ac:dyDescent="0.25">
      <c r="A762" s="87" t="s">
        <v>1641</v>
      </c>
      <c r="B762" s="87" t="s">
        <v>1642</v>
      </c>
      <c r="C762" s="87" t="s">
        <v>137</v>
      </c>
    </row>
    <row r="763" spans="1:3" ht="15" customHeight="1" x14ac:dyDescent="0.25">
      <c r="A763" s="87" t="s">
        <v>1643</v>
      </c>
      <c r="B763" s="87" t="s">
        <v>1644</v>
      </c>
      <c r="C763" s="87" t="s">
        <v>120</v>
      </c>
    </row>
    <row r="764" spans="1:3" ht="15" customHeight="1" x14ac:dyDescent="0.25">
      <c r="A764" s="87" t="s">
        <v>1645</v>
      </c>
      <c r="B764" s="87" t="s">
        <v>1646</v>
      </c>
      <c r="C764" s="87" t="s">
        <v>120</v>
      </c>
    </row>
    <row r="765" spans="1:3" ht="15" customHeight="1" x14ac:dyDescent="0.25">
      <c r="A765" s="87" t="s">
        <v>1647</v>
      </c>
      <c r="B765" s="87" t="s">
        <v>1648</v>
      </c>
      <c r="C765" s="87" t="s">
        <v>137</v>
      </c>
    </row>
    <row r="766" spans="1:3" ht="15" customHeight="1" x14ac:dyDescent="0.25">
      <c r="A766" s="87" t="s">
        <v>1649</v>
      </c>
      <c r="B766" s="87" t="s">
        <v>1650</v>
      </c>
      <c r="C766" s="87" t="s">
        <v>120</v>
      </c>
    </row>
    <row r="767" spans="1:3" ht="15" customHeight="1" x14ac:dyDescent="0.25">
      <c r="A767" s="87" t="s">
        <v>1651</v>
      </c>
      <c r="B767" s="87" t="s">
        <v>1652</v>
      </c>
      <c r="C767" s="87" t="s">
        <v>120</v>
      </c>
    </row>
    <row r="768" spans="1:3" ht="15" customHeight="1" x14ac:dyDescent="0.25">
      <c r="A768" s="87" t="s">
        <v>1653</v>
      </c>
      <c r="B768" s="87" t="s">
        <v>1654</v>
      </c>
      <c r="C768" s="87" t="s">
        <v>120</v>
      </c>
    </row>
    <row r="769" spans="1:3" ht="15" customHeight="1" x14ac:dyDescent="0.25">
      <c r="A769" s="87" t="s">
        <v>1655</v>
      </c>
      <c r="B769" s="87" t="s">
        <v>1656</v>
      </c>
      <c r="C769" s="87" t="s">
        <v>120</v>
      </c>
    </row>
    <row r="770" spans="1:3" ht="15" customHeight="1" x14ac:dyDescent="0.25">
      <c r="A770" s="87" t="s">
        <v>1657</v>
      </c>
      <c r="B770" s="87" t="s">
        <v>1658</v>
      </c>
      <c r="C770" s="87" t="s">
        <v>137</v>
      </c>
    </row>
    <row r="771" spans="1:3" ht="15" customHeight="1" x14ac:dyDescent="0.25">
      <c r="A771" s="87" t="s">
        <v>1659</v>
      </c>
      <c r="B771" s="87" t="s">
        <v>1660</v>
      </c>
      <c r="C771" s="87" t="s">
        <v>137</v>
      </c>
    </row>
    <row r="772" spans="1:3" ht="15" customHeight="1" x14ac:dyDescent="0.25">
      <c r="A772" s="87" t="s">
        <v>1661</v>
      </c>
      <c r="B772" s="87" t="s">
        <v>1662</v>
      </c>
      <c r="C772" s="87" t="s">
        <v>137</v>
      </c>
    </row>
    <row r="773" spans="1:3" ht="15" customHeight="1" x14ac:dyDescent="0.25">
      <c r="A773" s="87" t="s">
        <v>1663</v>
      </c>
      <c r="B773" s="87" t="s">
        <v>1664</v>
      </c>
      <c r="C773" s="87" t="s">
        <v>137</v>
      </c>
    </row>
    <row r="774" spans="1:3" ht="15" customHeight="1" x14ac:dyDescent="0.25">
      <c r="A774" s="87" t="s">
        <v>1665</v>
      </c>
      <c r="B774" s="87" t="s">
        <v>1666</v>
      </c>
      <c r="C774" s="87" t="s">
        <v>137</v>
      </c>
    </row>
    <row r="775" spans="1:3" ht="15" customHeight="1" x14ac:dyDescent="0.25">
      <c r="A775" s="87" t="s">
        <v>1667</v>
      </c>
      <c r="B775" s="87" t="s">
        <v>1668</v>
      </c>
      <c r="C775" s="87" t="s">
        <v>137</v>
      </c>
    </row>
    <row r="776" spans="1:3" ht="15" customHeight="1" x14ac:dyDescent="0.25">
      <c r="A776" s="87" t="s">
        <v>1669</v>
      </c>
      <c r="B776" s="87" t="s">
        <v>1670</v>
      </c>
      <c r="C776" s="87" t="s">
        <v>120</v>
      </c>
    </row>
    <row r="777" spans="1:3" ht="15" customHeight="1" x14ac:dyDescent="0.25">
      <c r="A777" s="87" t="s">
        <v>1671</v>
      </c>
      <c r="B777" s="87" t="s">
        <v>1672</v>
      </c>
      <c r="C777" s="87" t="s">
        <v>120</v>
      </c>
    </row>
    <row r="778" spans="1:3" ht="15" customHeight="1" x14ac:dyDescent="0.25">
      <c r="A778" s="87" t="s">
        <v>1673</v>
      </c>
      <c r="B778" s="87" t="s">
        <v>1674</v>
      </c>
      <c r="C778" s="87" t="s">
        <v>137</v>
      </c>
    </row>
    <row r="779" spans="1:3" ht="15" customHeight="1" x14ac:dyDescent="0.25">
      <c r="A779" s="87" t="s">
        <v>1675</v>
      </c>
      <c r="B779" s="87" t="s">
        <v>1676</v>
      </c>
      <c r="C779" s="87" t="s">
        <v>137</v>
      </c>
    </row>
    <row r="780" spans="1:3" ht="15" customHeight="1" x14ac:dyDescent="0.25">
      <c r="A780" s="87" t="s">
        <v>1677</v>
      </c>
      <c r="B780" s="87" t="s">
        <v>1678</v>
      </c>
      <c r="C780" s="87" t="s">
        <v>137</v>
      </c>
    </row>
    <row r="781" spans="1:3" ht="15" customHeight="1" x14ac:dyDescent="0.25">
      <c r="A781" s="87" t="s">
        <v>1679</v>
      </c>
      <c r="B781" s="87" t="s">
        <v>1680</v>
      </c>
      <c r="C781" s="87" t="s">
        <v>120</v>
      </c>
    </row>
    <row r="782" spans="1:3" ht="15" customHeight="1" x14ac:dyDescent="0.25">
      <c r="A782" s="87" t="s">
        <v>1681</v>
      </c>
      <c r="B782" s="87" t="s">
        <v>1682</v>
      </c>
      <c r="C782" s="87" t="s">
        <v>137</v>
      </c>
    </row>
    <row r="783" spans="1:3" ht="15" customHeight="1" x14ac:dyDescent="0.25">
      <c r="A783" s="87" t="s">
        <v>1683</v>
      </c>
      <c r="B783" s="87" t="s">
        <v>1684</v>
      </c>
      <c r="C783" s="87" t="s">
        <v>137</v>
      </c>
    </row>
    <row r="784" spans="1:3" ht="15" customHeight="1" x14ac:dyDescent="0.25">
      <c r="A784" s="87" t="s">
        <v>1685</v>
      </c>
      <c r="B784" s="87" t="s">
        <v>1686</v>
      </c>
      <c r="C784" s="87" t="s">
        <v>120</v>
      </c>
    </row>
    <row r="785" spans="1:3" ht="15" customHeight="1" x14ac:dyDescent="0.25">
      <c r="A785" s="87" t="s">
        <v>1687</v>
      </c>
      <c r="B785" s="87" t="s">
        <v>1688</v>
      </c>
      <c r="C785" s="87" t="s">
        <v>120</v>
      </c>
    </row>
    <row r="786" spans="1:3" ht="15" customHeight="1" x14ac:dyDescent="0.25">
      <c r="A786" s="87" t="s">
        <v>1689</v>
      </c>
      <c r="B786" s="87" t="s">
        <v>1690</v>
      </c>
      <c r="C786" s="87" t="s">
        <v>120</v>
      </c>
    </row>
    <row r="787" spans="1:3" ht="15" customHeight="1" x14ac:dyDescent="0.25">
      <c r="A787" s="87" t="s">
        <v>1691</v>
      </c>
      <c r="B787" s="87" t="s">
        <v>1692</v>
      </c>
      <c r="C787" s="87" t="s">
        <v>120</v>
      </c>
    </row>
    <row r="788" spans="1:3" ht="15" customHeight="1" x14ac:dyDescent="0.25">
      <c r="A788" s="87" t="s">
        <v>1693</v>
      </c>
      <c r="B788" s="87" t="s">
        <v>1694</v>
      </c>
      <c r="C788" s="87" t="s">
        <v>120</v>
      </c>
    </row>
    <row r="789" spans="1:3" ht="15" customHeight="1" x14ac:dyDescent="0.25">
      <c r="A789" s="87" t="s">
        <v>1695</v>
      </c>
      <c r="B789" s="87" t="s">
        <v>1696</v>
      </c>
      <c r="C789" s="87" t="s">
        <v>120</v>
      </c>
    </row>
    <row r="790" spans="1:3" ht="15" customHeight="1" x14ac:dyDescent="0.25">
      <c r="A790" s="87" t="s">
        <v>1697</v>
      </c>
      <c r="B790" s="87" t="s">
        <v>1698</v>
      </c>
      <c r="C790" s="87" t="s">
        <v>120</v>
      </c>
    </row>
    <row r="791" spans="1:3" ht="15" customHeight="1" x14ac:dyDescent="0.25">
      <c r="A791" s="87" t="s">
        <v>1699</v>
      </c>
      <c r="B791" s="87" t="s">
        <v>1700</v>
      </c>
      <c r="C791" s="87" t="s">
        <v>120</v>
      </c>
    </row>
    <row r="792" spans="1:3" ht="15" customHeight="1" x14ac:dyDescent="0.25">
      <c r="A792" s="87" t="s">
        <v>1701</v>
      </c>
      <c r="B792" s="87" t="s">
        <v>1702</v>
      </c>
      <c r="C792" s="87" t="s">
        <v>120</v>
      </c>
    </row>
    <row r="793" spans="1:3" ht="15" customHeight="1" x14ac:dyDescent="0.25">
      <c r="A793" s="87" t="s">
        <v>1703</v>
      </c>
      <c r="B793" s="87" t="s">
        <v>1704</v>
      </c>
      <c r="C793" s="87" t="s">
        <v>120</v>
      </c>
    </row>
    <row r="794" spans="1:3" ht="15" customHeight="1" x14ac:dyDescent="0.25">
      <c r="A794" s="87" t="s">
        <v>1705</v>
      </c>
      <c r="B794" s="87" t="s">
        <v>1706</v>
      </c>
      <c r="C794" s="87" t="s">
        <v>137</v>
      </c>
    </row>
    <row r="795" spans="1:3" ht="15" customHeight="1" x14ac:dyDescent="0.25">
      <c r="A795" s="87" t="s">
        <v>1707</v>
      </c>
      <c r="B795" s="87" t="s">
        <v>1708</v>
      </c>
      <c r="C795" s="87" t="s">
        <v>137</v>
      </c>
    </row>
    <row r="796" spans="1:3" ht="15" customHeight="1" x14ac:dyDescent="0.25">
      <c r="A796" s="87" t="s">
        <v>1709</v>
      </c>
      <c r="B796" s="87" t="s">
        <v>1710</v>
      </c>
      <c r="C796" s="87" t="s">
        <v>120</v>
      </c>
    </row>
    <row r="797" spans="1:3" ht="15" customHeight="1" x14ac:dyDescent="0.25">
      <c r="A797" s="87" t="s">
        <v>1711</v>
      </c>
      <c r="B797" s="87" t="s">
        <v>1712</v>
      </c>
      <c r="C797" s="87" t="s">
        <v>120</v>
      </c>
    </row>
    <row r="798" spans="1:3" ht="15" customHeight="1" x14ac:dyDescent="0.25">
      <c r="A798" s="87" t="s">
        <v>1713</v>
      </c>
      <c r="B798" s="87" t="s">
        <v>1714</v>
      </c>
      <c r="C798" s="87" t="s">
        <v>120</v>
      </c>
    </row>
    <row r="799" spans="1:3" ht="15" customHeight="1" x14ac:dyDescent="0.25">
      <c r="A799" s="87" t="s">
        <v>1715</v>
      </c>
      <c r="B799" s="87" t="s">
        <v>1716</v>
      </c>
      <c r="C799" s="87" t="s">
        <v>137</v>
      </c>
    </row>
    <row r="800" spans="1:3" ht="15" customHeight="1" x14ac:dyDescent="0.25">
      <c r="A800" s="87" t="s">
        <v>1717</v>
      </c>
      <c r="B800" s="87" t="s">
        <v>1718</v>
      </c>
      <c r="C800" s="87" t="s">
        <v>120</v>
      </c>
    </row>
    <row r="801" spans="1:3" ht="15" customHeight="1" x14ac:dyDescent="0.25">
      <c r="A801" s="87" t="s">
        <v>1719</v>
      </c>
      <c r="B801" s="87" t="s">
        <v>1720</v>
      </c>
      <c r="C801" s="87" t="s">
        <v>120</v>
      </c>
    </row>
    <row r="802" spans="1:3" ht="15" customHeight="1" x14ac:dyDescent="0.25">
      <c r="A802" s="87" t="s">
        <v>1721</v>
      </c>
      <c r="B802" s="87" t="s">
        <v>1722</v>
      </c>
      <c r="C802" s="87" t="s">
        <v>120</v>
      </c>
    </row>
    <row r="803" spans="1:3" ht="15" customHeight="1" x14ac:dyDescent="0.25">
      <c r="A803" s="87" t="s">
        <v>1723</v>
      </c>
      <c r="B803" s="87" t="s">
        <v>1724</v>
      </c>
      <c r="C803" s="87" t="s">
        <v>120</v>
      </c>
    </row>
    <row r="804" spans="1:3" ht="15" customHeight="1" x14ac:dyDescent="0.25">
      <c r="A804" s="87" t="s">
        <v>1725</v>
      </c>
      <c r="B804" s="87" t="s">
        <v>1726</v>
      </c>
      <c r="C804" s="87" t="s">
        <v>120</v>
      </c>
    </row>
    <row r="805" spans="1:3" ht="15" customHeight="1" x14ac:dyDescent="0.25">
      <c r="A805" s="87" t="s">
        <v>1727</v>
      </c>
      <c r="B805" s="87" t="s">
        <v>1728</v>
      </c>
      <c r="C805" s="87" t="s">
        <v>137</v>
      </c>
    </row>
    <row r="806" spans="1:3" ht="15" customHeight="1" x14ac:dyDescent="0.25">
      <c r="A806" s="87" t="s">
        <v>1729</v>
      </c>
      <c r="B806" s="87" t="s">
        <v>1730</v>
      </c>
      <c r="C806" s="87" t="s">
        <v>137</v>
      </c>
    </row>
    <row r="807" spans="1:3" ht="15" customHeight="1" x14ac:dyDescent="0.25">
      <c r="A807" s="87" t="s">
        <v>1731</v>
      </c>
      <c r="B807" s="87" t="s">
        <v>1732</v>
      </c>
      <c r="C807" s="87" t="s">
        <v>137</v>
      </c>
    </row>
    <row r="808" spans="1:3" ht="15" customHeight="1" x14ac:dyDescent="0.25">
      <c r="A808" s="87" t="s">
        <v>1733</v>
      </c>
      <c r="B808" s="87" t="s">
        <v>1734</v>
      </c>
      <c r="C808" s="87" t="s">
        <v>137</v>
      </c>
    </row>
    <row r="809" spans="1:3" ht="15" customHeight="1" x14ac:dyDescent="0.25">
      <c r="A809" s="87" t="s">
        <v>1735</v>
      </c>
      <c r="B809" s="87" t="s">
        <v>1736</v>
      </c>
      <c r="C809" s="87" t="s">
        <v>137</v>
      </c>
    </row>
    <row r="810" spans="1:3" ht="15" customHeight="1" x14ac:dyDescent="0.25">
      <c r="A810" s="87" t="s">
        <v>1737</v>
      </c>
      <c r="B810" s="87" t="s">
        <v>1738</v>
      </c>
      <c r="C810" s="87" t="s">
        <v>137</v>
      </c>
    </row>
    <row r="811" spans="1:3" ht="15" customHeight="1" x14ac:dyDescent="0.25">
      <c r="A811" s="87" t="s">
        <v>1739</v>
      </c>
      <c r="B811" s="87" t="s">
        <v>1740</v>
      </c>
      <c r="C811" s="87" t="s">
        <v>137</v>
      </c>
    </row>
    <row r="812" spans="1:3" ht="15" customHeight="1" x14ac:dyDescent="0.25">
      <c r="A812" s="87" t="s">
        <v>1741</v>
      </c>
      <c r="B812" s="87" t="s">
        <v>1742</v>
      </c>
      <c r="C812" s="87" t="s">
        <v>137</v>
      </c>
    </row>
    <row r="813" spans="1:3" ht="15" customHeight="1" x14ac:dyDescent="0.25">
      <c r="A813" s="87" t="s">
        <v>1743</v>
      </c>
      <c r="B813" s="87" t="s">
        <v>1744</v>
      </c>
      <c r="C813" s="87" t="s">
        <v>137</v>
      </c>
    </row>
    <row r="814" spans="1:3" ht="15" customHeight="1" x14ac:dyDescent="0.25">
      <c r="A814" s="87" t="s">
        <v>1745</v>
      </c>
      <c r="B814" s="87" t="s">
        <v>1746</v>
      </c>
      <c r="C814" s="87" t="s">
        <v>137</v>
      </c>
    </row>
    <row r="815" spans="1:3" ht="15" customHeight="1" x14ac:dyDescent="0.25">
      <c r="A815" s="87" t="s">
        <v>1747</v>
      </c>
      <c r="B815" s="87" t="s">
        <v>1748</v>
      </c>
      <c r="C815" s="87" t="s">
        <v>137</v>
      </c>
    </row>
    <row r="816" spans="1:3" ht="15" customHeight="1" x14ac:dyDescent="0.25">
      <c r="A816" s="87" t="s">
        <v>1749</v>
      </c>
      <c r="B816" s="87" t="s">
        <v>1750</v>
      </c>
      <c r="C816" s="87" t="s">
        <v>137</v>
      </c>
    </row>
    <row r="817" spans="1:3" ht="15" customHeight="1" x14ac:dyDescent="0.25">
      <c r="A817" s="87" t="s">
        <v>1751</v>
      </c>
      <c r="B817" s="87" t="s">
        <v>1752</v>
      </c>
      <c r="C817" s="87" t="s">
        <v>137</v>
      </c>
    </row>
    <row r="818" spans="1:3" ht="15" customHeight="1" x14ac:dyDescent="0.25">
      <c r="A818" s="87" t="s">
        <v>1753</v>
      </c>
      <c r="B818" s="87" t="s">
        <v>1754</v>
      </c>
      <c r="C818" s="87" t="s">
        <v>137</v>
      </c>
    </row>
    <row r="819" spans="1:3" ht="15" customHeight="1" x14ac:dyDescent="0.25">
      <c r="A819" s="87" t="s">
        <v>1755</v>
      </c>
      <c r="B819" s="87" t="s">
        <v>1756</v>
      </c>
      <c r="C819" s="87" t="s">
        <v>137</v>
      </c>
    </row>
    <row r="820" spans="1:3" ht="15" customHeight="1" x14ac:dyDescent="0.25">
      <c r="A820" s="87" t="s">
        <v>1757</v>
      </c>
      <c r="B820" s="87" t="s">
        <v>1758</v>
      </c>
      <c r="C820" s="87" t="s">
        <v>137</v>
      </c>
    </row>
    <row r="821" spans="1:3" ht="15" customHeight="1" x14ac:dyDescent="0.25">
      <c r="A821" s="87" t="s">
        <v>1759</v>
      </c>
      <c r="B821" s="87" t="s">
        <v>1760</v>
      </c>
      <c r="C821" s="87" t="s">
        <v>137</v>
      </c>
    </row>
    <row r="822" spans="1:3" ht="15" customHeight="1" x14ac:dyDescent="0.25">
      <c r="A822" s="87" t="s">
        <v>1761</v>
      </c>
      <c r="B822" s="87" t="s">
        <v>1762</v>
      </c>
      <c r="C822" s="87" t="s">
        <v>137</v>
      </c>
    </row>
    <row r="823" spans="1:3" ht="15" customHeight="1" x14ac:dyDescent="0.25">
      <c r="A823" s="87" t="s">
        <v>1763</v>
      </c>
      <c r="B823" s="87" t="s">
        <v>1764</v>
      </c>
      <c r="C823" s="87" t="s">
        <v>137</v>
      </c>
    </row>
    <row r="824" spans="1:3" ht="15" customHeight="1" x14ac:dyDescent="0.25">
      <c r="A824" s="87" t="s">
        <v>1765</v>
      </c>
      <c r="B824" s="87" t="s">
        <v>1766</v>
      </c>
      <c r="C824" s="87" t="s">
        <v>137</v>
      </c>
    </row>
    <row r="825" spans="1:3" ht="15" customHeight="1" x14ac:dyDescent="0.25">
      <c r="A825" s="87" t="s">
        <v>1767</v>
      </c>
      <c r="B825" s="87" t="s">
        <v>1768</v>
      </c>
      <c r="C825" s="87" t="s">
        <v>137</v>
      </c>
    </row>
    <row r="826" spans="1:3" ht="15" customHeight="1" x14ac:dyDescent="0.25">
      <c r="A826" s="87" t="s">
        <v>1769</v>
      </c>
      <c r="B826" s="87" t="s">
        <v>1770</v>
      </c>
      <c r="C826" s="87" t="s">
        <v>137</v>
      </c>
    </row>
    <row r="827" spans="1:3" ht="15" customHeight="1" x14ac:dyDescent="0.25">
      <c r="A827" s="87" t="s">
        <v>1771</v>
      </c>
      <c r="B827" s="87" t="s">
        <v>1772</v>
      </c>
      <c r="C827" s="87" t="s">
        <v>137</v>
      </c>
    </row>
    <row r="828" spans="1:3" ht="15" customHeight="1" x14ac:dyDescent="0.25">
      <c r="A828" s="87" t="s">
        <v>1773</v>
      </c>
      <c r="B828" s="87" t="s">
        <v>1774</v>
      </c>
      <c r="C828" s="87" t="s">
        <v>137</v>
      </c>
    </row>
    <row r="829" spans="1:3" ht="15" customHeight="1" x14ac:dyDescent="0.25">
      <c r="A829" s="87" t="s">
        <v>1775</v>
      </c>
      <c r="B829" s="87" t="s">
        <v>1776</v>
      </c>
      <c r="C829" s="87" t="s">
        <v>137</v>
      </c>
    </row>
    <row r="830" spans="1:3" ht="15" customHeight="1" x14ac:dyDescent="0.25">
      <c r="A830" s="87" t="s">
        <v>1777</v>
      </c>
      <c r="B830" s="87" t="s">
        <v>1778</v>
      </c>
      <c r="C830" s="87" t="s">
        <v>137</v>
      </c>
    </row>
    <row r="831" spans="1:3" ht="15" customHeight="1" x14ac:dyDescent="0.25">
      <c r="A831" s="87" t="s">
        <v>1779</v>
      </c>
      <c r="B831" s="87" t="s">
        <v>1780</v>
      </c>
      <c r="C831" s="87" t="s">
        <v>137</v>
      </c>
    </row>
    <row r="832" spans="1:3" ht="15" customHeight="1" x14ac:dyDescent="0.25">
      <c r="A832" s="87" t="s">
        <v>1781</v>
      </c>
      <c r="B832" s="87" t="s">
        <v>1782</v>
      </c>
      <c r="C832" s="87" t="s">
        <v>137</v>
      </c>
    </row>
    <row r="833" spans="1:3" ht="15" customHeight="1" x14ac:dyDescent="0.25">
      <c r="A833" s="87" t="s">
        <v>1783</v>
      </c>
      <c r="B833" s="87" t="s">
        <v>1784</v>
      </c>
      <c r="C833" s="87" t="s">
        <v>137</v>
      </c>
    </row>
    <row r="834" spans="1:3" ht="15" customHeight="1" x14ac:dyDescent="0.25">
      <c r="A834" s="87" t="s">
        <v>1785</v>
      </c>
      <c r="B834" s="87" t="s">
        <v>1786</v>
      </c>
      <c r="C834" s="87" t="s">
        <v>137</v>
      </c>
    </row>
    <row r="835" spans="1:3" ht="15" customHeight="1" x14ac:dyDescent="0.25">
      <c r="A835" s="87" t="s">
        <v>1787</v>
      </c>
      <c r="B835" s="87" t="s">
        <v>1788</v>
      </c>
      <c r="C835" s="87" t="s">
        <v>137</v>
      </c>
    </row>
    <row r="836" spans="1:3" ht="15" customHeight="1" x14ac:dyDescent="0.25">
      <c r="A836" s="87" t="s">
        <v>1789</v>
      </c>
      <c r="B836" s="87" t="s">
        <v>1790</v>
      </c>
      <c r="C836" s="87" t="s">
        <v>137</v>
      </c>
    </row>
    <row r="837" spans="1:3" ht="15" customHeight="1" x14ac:dyDescent="0.25">
      <c r="A837" s="87" t="s">
        <v>1791</v>
      </c>
      <c r="B837" s="87" t="s">
        <v>1792</v>
      </c>
      <c r="C837" s="87" t="s">
        <v>137</v>
      </c>
    </row>
    <row r="838" spans="1:3" ht="15" customHeight="1" x14ac:dyDescent="0.25">
      <c r="A838" s="87" t="s">
        <v>1793</v>
      </c>
      <c r="B838" s="87" t="s">
        <v>1794</v>
      </c>
      <c r="C838" s="87" t="s">
        <v>137</v>
      </c>
    </row>
    <row r="839" spans="1:3" ht="15" customHeight="1" x14ac:dyDescent="0.25">
      <c r="A839" s="87" t="s">
        <v>1795</v>
      </c>
      <c r="B839" s="87" t="s">
        <v>1796</v>
      </c>
      <c r="C839" s="87" t="s">
        <v>137</v>
      </c>
    </row>
    <row r="840" spans="1:3" ht="15" customHeight="1" x14ac:dyDescent="0.25">
      <c r="A840" s="87" t="s">
        <v>1797</v>
      </c>
      <c r="B840" s="87" t="s">
        <v>1798</v>
      </c>
      <c r="C840" s="87" t="s">
        <v>120</v>
      </c>
    </row>
    <row r="841" spans="1:3" ht="15" customHeight="1" x14ac:dyDescent="0.25">
      <c r="A841" s="87" t="s">
        <v>1799</v>
      </c>
      <c r="B841" s="87" t="s">
        <v>1800</v>
      </c>
      <c r="C841" s="87" t="s">
        <v>137</v>
      </c>
    </row>
    <row r="842" spans="1:3" ht="15" customHeight="1" x14ac:dyDescent="0.25">
      <c r="A842" s="87" t="s">
        <v>1801</v>
      </c>
      <c r="B842" s="87" t="s">
        <v>1802</v>
      </c>
      <c r="C842" s="87" t="s">
        <v>137</v>
      </c>
    </row>
    <row r="843" spans="1:3" ht="15" customHeight="1" x14ac:dyDescent="0.25">
      <c r="A843" s="87" t="s">
        <v>1803</v>
      </c>
      <c r="B843" s="87" t="s">
        <v>1804</v>
      </c>
      <c r="C843" s="87" t="s">
        <v>120</v>
      </c>
    </row>
    <row r="844" spans="1:3" ht="15" customHeight="1" x14ac:dyDescent="0.25">
      <c r="A844" s="87" t="s">
        <v>1805</v>
      </c>
      <c r="B844" s="87" t="s">
        <v>1806</v>
      </c>
      <c r="C844" s="87" t="s">
        <v>120</v>
      </c>
    </row>
    <row r="845" spans="1:3" ht="15" customHeight="1" x14ac:dyDescent="0.25">
      <c r="A845" s="87" t="s">
        <v>1807</v>
      </c>
      <c r="B845" s="87" t="s">
        <v>1808</v>
      </c>
      <c r="C845" s="87" t="s">
        <v>230</v>
      </c>
    </row>
    <row r="846" spans="1:3" ht="15" customHeight="1" x14ac:dyDescent="0.25">
      <c r="A846" s="87" t="s">
        <v>1809</v>
      </c>
      <c r="B846" s="87" t="s">
        <v>1810</v>
      </c>
      <c r="C846" s="87" t="s">
        <v>137</v>
      </c>
    </row>
    <row r="847" spans="1:3" ht="15" customHeight="1" x14ac:dyDescent="0.25">
      <c r="A847" s="87" t="s">
        <v>1811</v>
      </c>
      <c r="B847" s="87" t="s">
        <v>1812</v>
      </c>
      <c r="C847" s="87" t="s">
        <v>137</v>
      </c>
    </row>
    <row r="848" spans="1:3" ht="15" customHeight="1" x14ac:dyDescent="0.25">
      <c r="A848" s="87" t="s">
        <v>1813</v>
      </c>
      <c r="B848" s="87" t="s">
        <v>1814</v>
      </c>
      <c r="C848" s="87" t="s">
        <v>120</v>
      </c>
    </row>
    <row r="849" spans="1:3" ht="15" customHeight="1" x14ac:dyDescent="0.25">
      <c r="A849" s="87" t="s">
        <v>1815</v>
      </c>
      <c r="B849" s="87" t="s">
        <v>1816</v>
      </c>
      <c r="C849" s="87" t="s">
        <v>120</v>
      </c>
    </row>
    <row r="850" spans="1:3" ht="15" customHeight="1" x14ac:dyDescent="0.25">
      <c r="A850" s="87" t="s">
        <v>1817</v>
      </c>
      <c r="B850" s="87" t="s">
        <v>1818</v>
      </c>
      <c r="C850" s="87" t="s">
        <v>137</v>
      </c>
    </row>
    <row r="851" spans="1:3" ht="15" customHeight="1" x14ac:dyDescent="0.25">
      <c r="A851" s="87" t="s">
        <v>1819</v>
      </c>
      <c r="B851" s="87" t="s">
        <v>1820</v>
      </c>
      <c r="C851" s="87" t="s">
        <v>120</v>
      </c>
    </row>
    <row r="852" spans="1:3" ht="15" customHeight="1" x14ac:dyDescent="0.25">
      <c r="A852" s="87" t="s">
        <v>1821</v>
      </c>
      <c r="B852" s="87" t="s">
        <v>1822</v>
      </c>
      <c r="C852" s="87" t="s">
        <v>137</v>
      </c>
    </row>
    <row r="853" spans="1:3" ht="15" customHeight="1" x14ac:dyDescent="0.25">
      <c r="A853" s="87" t="s">
        <v>1823</v>
      </c>
      <c r="B853" s="87" t="s">
        <v>1824</v>
      </c>
      <c r="C853" s="87" t="s">
        <v>120</v>
      </c>
    </row>
    <row r="854" spans="1:3" ht="15" customHeight="1" x14ac:dyDescent="0.25">
      <c r="A854" s="87" t="s">
        <v>1825</v>
      </c>
      <c r="B854" s="87" t="s">
        <v>1826</v>
      </c>
      <c r="C854" s="87" t="s">
        <v>137</v>
      </c>
    </row>
    <row r="855" spans="1:3" ht="15" customHeight="1" x14ac:dyDescent="0.25">
      <c r="A855" s="87" t="s">
        <v>1827</v>
      </c>
      <c r="B855" s="87" t="s">
        <v>1828</v>
      </c>
      <c r="C855" s="87" t="s">
        <v>120</v>
      </c>
    </row>
    <row r="856" spans="1:3" ht="15" customHeight="1" x14ac:dyDescent="0.25">
      <c r="A856" s="87" t="s">
        <v>1829</v>
      </c>
      <c r="B856" s="87" t="s">
        <v>1830</v>
      </c>
      <c r="C856" s="87" t="s">
        <v>120</v>
      </c>
    </row>
    <row r="857" spans="1:3" ht="15" customHeight="1" x14ac:dyDescent="0.25">
      <c r="A857" s="87" t="s">
        <v>1831</v>
      </c>
      <c r="B857" s="87" t="s">
        <v>1832</v>
      </c>
      <c r="C857" s="87" t="s">
        <v>120</v>
      </c>
    </row>
    <row r="858" spans="1:3" ht="15" customHeight="1" x14ac:dyDescent="0.25">
      <c r="A858" s="87" t="s">
        <v>1833</v>
      </c>
      <c r="B858" s="87" t="s">
        <v>1834</v>
      </c>
      <c r="C858" s="87" t="s">
        <v>120</v>
      </c>
    </row>
    <row r="859" spans="1:3" ht="15" customHeight="1" x14ac:dyDescent="0.25">
      <c r="A859" s="87" t="s">
        <v>1835</v>
      </c>
      <c r="B859" s="87" t="s">
        <v>1836</v>
      </c>
      <c r="C859" s="87" t="s">
        <v>120</v>
      </c>
    </row>
    <row r="860" spans="1:3" ht="15" customHeight="1" x14ac:dyDescent="0.25">
      <c r="A860" s="87" t="s">
        <v>1837</v>
      </c>
      <c r="B860" s="87" t="s">
        <v>1838</v>
      </c>
      <c r="C860" s="87" t="s">
        <v>137</v>
      </c>
    </row>
    <row r="861" spans="1:3" ht="15" customHeight="1" x14ac:dyDescent="0.25">
      <c r="A861" s="87" t="s">
        <v>1839</v>
      </c>
      <c r="B861" s="87" t="s">
        <v>1840</v>
      </c>
      <c r="C861" s="87" t="s">
        <v>120</v>
      </c>
    </row>
    <row r="862" spans="1:3" ht="15" customHeight="1" x14ac:dyDescent="0.25">
      <c r="A862" s="88"/>
      <c r="B862" s="88"/>
      <c r="C862" s="88"/>
    </row>
    <row r="863" spans="1:3" ht="15" customHeight="1" x14ac:dyDescent="0.25">
      <c r="A863"/>
    </row>
    <row r="864" spans="1:3" ht="15" customHeight="1" x14ac:dyDescent="0.25">
      <c r="A864"/>
    </row>
    <row r="865" spans="1:1" ht="15" customHeight="1" x14ac:dyDescent="0.25">
      <c r="A865"/>
    </row>
    <row r="866" spans="1:1" ht="15" customHeight="1" x14ac:dyDescent="0.25">
      <c r="A866"/>
    </row>
    <row r="867" spans="1:1" ht="15" customHeight="1" x14ac:dyDescent="0.25">
      <c r="A867"/>
    </row>
    <row r="868" spans="1:1" ht="15" customHeight="1" x14ac:dyDescent="0.25">
      <c r="A868"/>
    </row>
    <row r="869" spans="1:1" ht="15" customHeight="1" x14ac:dyDescent="0.25">
      <c r="A869"/>
    </row>
    <row r="870" spans="1:1" ht="15" customHeight="1" x14ac:dyDescent="0.25">
      <c r="A870"/>
    </row>
    <row r="871" spans="1:1" ht="15" customHeight="1" x14ac:dyDescent="0.25">
      <c r="A871"/>
    </row>
    <row r="872" spans="1:1" ht="15" customHeight="1" x14ac:dyDescent="0.25">
      <c r="A872"/>
    </row>
    <row r="873" spans="1:1" ht="15" customHeight="1" x14ac:dyDescent="0.25">
      <c r="A873"/>
    </row>
    <row r="874" spans="1:1" ht="15" customHeight="1" x14ac:dyDescent="0.25">
      <c r="A874"/>
    </row>
    <row r="875" spans="1:1" ht="15" customHeight="1" x14ac:dyDescent="0.25">
      <c r="A875"/>
    </row>
    <row r="876" spans="1:1" ht="15" customHeight="1" x14ac:dyDescent="0.25">
      <c r="A876"/>
    </row>
    <row r="877" spans="1:1" ht="15" customHeight="1" x14ac:dyDescent="0.25">
      <c r="A877"/>
    </row>
    <row r="878" spans="1:1" ht="15" customHeight="1" x14ac:dyDescent="0.25">
      <c r="A878"/>
    </row>
    <row r="879" spans="1:1" ht="15" customHeight="1" x14ac:dyDescent="0.25">
      <c r="A879"/>
    </row>
    <row r="880" spans="1:1" ht="15" customHeight="1" x14ac:dyDescent="0.25">
      <c r="A880"/>
    </row>
    <row r="881" spans="1:1" ht="15" customHeight="1" x14ac:dyDescent="0.25">
      <c r="A881"/>
    </row>
    <row r="882" spans="1:1" ht="15" customHeight="1" x14ac:dyDescent="0.25">
      <c r="A882"/>
    </row>
    <row r="883" spans="1:1" ht="15" customHeight="1" x14ac:dyDescent="0.25">
      <c r="A883"/>
    </row>
    <row r="884" spans="1:1" ht="15" customHeight="1" x14ac:dyDescent="0.25">
      <c r="A884"/>
    </row>
    <row r="885" spans="1:1" ht="15" customHeight="1" x14ac:dyDescent="0.25">
      <c r="A885"/>
    </row>
    <row r="886" spans="1:1" ht="15" customHeight="1" x14ac:dyDescent="0.25">
      <c r="A886"/>
    </row>
    <row r="887" spans="1:1" ht="15" customHeight="1" x14ac:dyDescent="0.25">
      <c r="A887"/>
    </row>
    <row r="888" spans="1:1" ht="15" customHeight="1" x14ac:dyDescent="0.25">
      <c r="A888"/>
    </row>
    <row r="889" spans="1:1" ht="15" customHeight="1" x14ac:dyDescent="0.25">
      <c r="A889"/>
    </row>
    <row r="890" spans="1:1" ht="15" customHeight="1" x14ac:dyDescent="0.25">
      <c r="A890"/>
    </row>
    <row r="891" spans="1:1" ht="15" customHeight="1" x14ac:dyDescent="0.25">
      <c r="A891"/>
    </row>
    <row r="892" spans="1:1" ht="15" customHeight="1" x14ac:dyDescent="0.25">
      <c r="A892"/>
    </row>
    <row r="893" spans="1:1" ht="15" customHeight="1" x14ac:dyDescent="0.25">
      <c r="A893"/>
    </row>
    <row r="894" spans="1:1" ht="15" customHeight="1" x14ac:dyDescent="0.25">
      <c r="A894"/>
    </row>
    <row r="895" spans="1:1" ht="15" customHeight="1" x14ac:dyDescent="0.25">
      <c r="A895"/>
    </row>
    <row r="896" spans="1:1" ht="15" customHeight="1" x14ac:dyDescent="0.25">
      <c r="A896"/>
    </row>
    <row r="897" spans="1:1" ht="15" customHeight="1" x14ac:dyDescent="0.25">
      <c r="A897"/>
    </row>
    <row r="898" spans="1:1" ht="15" customHeight="1" x14ac:dyDescent="0.25">
      <c r="A898"/>
    </row>
    <row r="899" spans="1:1" ht="15" customHeight="1" x14ac:dyDescent="0.25">
      <c r="A899"/>
    </row>
    <row r="900" spans="1:1" ht="15" customHeight="1" x14ac:dyDescent="0.25">
      <c r="A900"/>
    </row>
    <row r="901" spans="1:1" ht="15" customHeight="1" x14ac:dyDescent="0.25">
      <c r="A901"/>
    </row>
    <row r="902" spans="1:1" ht="15" customHeight="1" x14ac:dyDescent="0.25">
      <c r="A902"/>
    </row>
    <row r="903" spans="1:1" ht="15" customHeight="1" x14ac:dyDescent="0.25">
      <c r="A903"/>
    </row>
    <row r="904" spans="1:1" ht="15" customHeight="1" x14ac:dyDescent="0.25">
      <c r="A904"/>
    </row>
    <row r="905" spans="1:1" ht="15" customHeight="1" x14ac:dyDescent="0.25">
      <c r="A905"/>
    </row>
    <row r="906" spans="1:1" ht="15" customHeight="1" x14ac:dyDescent="0.25">
      <c r="A906"/>
    </row>
    <row r="907" spans="1:1" ht="15" customHeight="1" x14ac:dyDescent="0.25">
      <c r="A907"/>
    </row>
    <row r="908" spans="1:1" ht="15" customHeight="1" x14ac:dyDescent="0.25">
      <c r="A908"/>
    </row>
    <row r="909" spans="1:1" ht="15" customHeight="1" x14ac:dyDescent="0.25">
      <c r="A909"/>
    </row>
    <row r="910" spans="1:1" ht="15" customHeight="1" x14ac:dyDescent="0.25">
      <c r="A910"/>
    </row>
    <row r="911" spans="1:1" ht="15" customHeight="1" x14ac:dyDescent="0.25">
      <c r="A911"/>
    </row>
    <row r="912" spans="1:1" ht="15" customHeight="1" x14ac:dyDescent="0.25">
      <c r="A912"/>
    </row>
    <row r="913" spans="1:1" ht="15" customHeight="1" x14ac:dyDescent="0.25">
      <c r="A913"/>
    </row>
    <row r="914" spans="1:1" ht="15" customHeight="1" x14ac:dyDescent="0.25">
      <c r="A914"/>
    </row>
    <row r="915" spans="1:1" ht="15" customHeight="1" x14ac:dyDescent="0.25">
      <c r="A915"/>
    </row>
    <row r="916" spans="1:1" ht="15" customHeight="1" x14ac:dyDescent="0.25">
      <c r="A916"/>
    </row>
    <row r="917" spans="1:1" ht="15" customHeight="1" x14ac:dyDescent="0.25">
      <c r="A917"/>
    </row>
    <row r="918" spans="1:1" ht="15" customHeight="1" x14ac:dyDescent="0.25">
      <c r="A918"/>
    </row>
    <row r="919" spans="1:1" ht="15" customHeight="1" x14ac:dyDescent="0.25">
      <c r="A919"/>
    </row>
    <row r="920" spans="1:1" ht="15" customHeight="1" x14ac:dyDescent="0.25">
      <c r="A920"/>
    </row>
    <row r="921" spans="1:1" ht="15" customHeight="1" x14ac:dyDescent="0.25">
      <c r="A921"/>
    </row>
    <row r="922" spans="1:1" ht="15" customHeight="1" x14ac:dyDescent="0.25">
      <c r="A922"/>
    </row>
    <row r="923" spans="1:1" ht="15" customHeight="1" x14ac:dyDescent="0.25">
      <c r="A923"/>
    </row>
    <row r="924" spans="1:1" ht="15" customHeight="1" x14ac:dyDescent="0.25">
      <c r="A924"/>
    </row>
    <row r="925" spans="1:1" ht="15" customHeight="1" x14ac:dyDescent="0.25">
      <c r="A925"/>
    </row>
    <row r="926" spans="1:1" ht="15" customHeight="1" x14ac:dyDescent="0.25">
      <c r="A926"/>
    </row>
    <row r="927" spans="1:1" ht="15" customHeight="1" x14ac:dyDescent="0.25">
      <c r="A927"/>
    </row>
    <row r="928" spans="1:1" ht="15" customHeight="1" x14ac:dyDescent="0.25">
      <c r="A928"/>
    </row>
    <row r="929" spans="1:1" ht="15" customHeight="1" x14ac:dyDescent="0.25">
      <c r="A929"/>
    </row>
    <row r="930" spans="1:1" ht="15" customHeight="1" x14ac:dyDescent="0.25">
      <c r="A930"/>
    </row>
    <row r="931" spans="1:1" ht="15" customHeight="1" x14ac:dyDescent="0.25">
      <c r="A931"/>
    </row>
    <row r="932" spans="1:1" ht="15" customHeight="1" x14ac:dyDescent="0.25">
      <c r="A932"/>
    </row>
    <row r="933" spans="1:1" ht="15" customHeight="1" x14ac:dyDescent="0.25">
      <c r="A933"/>
    </row>
    <row r="934" spans="1:1" ht="15" customHeight="1" x14ac:dyDescent="0.25">
      <c r="A934"/>
    </row>
    <row r="935" spans="1:1" ht="15" customHeight="1" x14ac:dyDescent="0.25">
      <c r="A935"/>
    </row>
    <row r="936" spans="1:1" ht="15" customHeight="1" x14ac:dyDescent="0.25">
      <c r="A936"/>
    </row>
    <row r="937" spans="1:1" ht="15" customHeight="1" x14ac:dyDescent="0.25">
      <c r="A937"/>
    </row>
    <row r="938" spans="1:1" ht="15" customHeight="1" x14ac:dyDescent="0.25">
      <c r="A938"/>
    </row>
    <row r="939" spans="1:1" ht="15" customHeight="1" x14ac:dyDescent="0.25">
      <c r="A939"/>
    </row>
    <row r="940" spans="1:1" ht="15" customHeight="1" x14ac:dyDescent="0.25">
      <c r="A940"/>
    </row>
    <row r="941" spans="1:1" ht="15" customHeight="1" x14ac:dyDescent="0.25">
      <c r="A941"/>
    </row>
    <row r="942" spans="1:1" ht="15" customHeight="1" x14ac:dyDescent="0.25">
      <c r="A942"/>
    </row>
    <row r="943" spans="1:1" ht="15" customHeight="1" x14ac:dyDescent="0.25">
      <c r="A943"/>
    </row>
    <row r="944" spans="1:1" ht="15" customHeight="1" x14ac:dyDescent="0.25">
      <c r="A944"/>
    </row>
    <row r="945" spans="1:1" ht="15" customHeight="1" x14ac:dyDescent="0.25">
      <c r="A945"/>
    </row>
    <row r="946" spans="1:1" ht="15" customHeight="1" x14ac:dyDescent="0.25">
      <c r="A946"/>
    </row>
    <row r="947" spans="1:1" ht="15" customHeight="1" x14ac:dyDescent="0.25">
      <c r="A947"/>
    </row>
    <row r="948" spans="1:1" ht="15" customHeight="1" x14ac:dyDescent="0.25">
      <c r="A948"/>
    </row>
    <row r="949" spans="1:1" ht="15" customHeight="1" x14ac:dyDescent="0.25">
      <c r="A949"/>
    </row>
    <row r="950" spans="1:1" ht="15" customHeight="1" x14ac:dyDescent="0.25">
      <c r="A950"/>
    </row>
    <row r="951" spans="1:1" ht="15" customHeight="1" x14ac:dyDescent="0.25">
      <c r="A951"/>
    </row>
    <row r="952" spans="1:1" ht="15" customHeight="1" x14ac:dyDescent="0.25">
      <c r="A952"/>
    </row>
    <row r="953" spans="1:1" ht="15" customHeight="1" x14ac:dyDescent="0.25">
      <c r="A953"/>
    </row>
    <row r="954" spans="1:1" ht="15" customHeight="1" x14ac:dyDescent="0.25">
      <c r="A954"/>
    </row>
    <row r="955" spans="1:1" ht="15" customHeight="1" x14ac:dyDescent="0.25">
      <c r="A955"/>
    </row>
    <row r="956" spans="1:1" ht="15" customHeight="1" x14ac:dyDescent="0.25">
      <c r="A956"/>
    </row>
    <row r="957" spans="1:1" ht="15" customHeight="1" x14ac:dyDescent="0.25">
      <c r="A957"/>
    </row>
    <row r="958" spans="1:1" ht="15" customHeight="1" x14ac:dyDescent="0.25">
      <c r="A958"/>
    </row>
    <row r="959" spans="1:1" ht="15" customHeight="1" x14ac:dyDescent="0.25">
      <c r="A959"/>
    </row>
    <row r="960" spans="1:1" ht="15" customHeight="1" x14ac:dyDescent="0.25">
      <c r="A960"/>
    </row>
    <row r="961" spans="1:1" ht="15" customHeight="1" x14ac:dyDescent="0.25">
      <c r="A961"/>
    </row>
    <row r="962" spans="1:1" ht="15" customHeight="1" x14ac:dyDescent="0.25">
      <c r="A962"/>
    </row>
    <row r="963" spans="1:1" ht="15" customHeight="1" x14ac:dyDescent="0.25">
      <c r="A963"/>
    </row>
    <row r="964" spans="1:1" ht="15" customHeight="1" x14ac:dyDescent="0.25">
      <c r="A964"/>
    </row>
    <row r="965" spans="1:1" ht="15" customHeight="1" x14ac:dyDescent="0.25">
      <c r="A965"/>
    </row>
    <row r="966" spans="1:1" ht="15" customHeight="1" x14ac:dyDescent="0.25">
      <c r="A966"/>
    </row>
    <row r="967" spans="1:1" ht="15" customHeight="1" x14ac:dyDescent="0.25">
      <c r="A967"/>
    </row>
    <row r="968" spans="1:1" ht="15" customHeight="1" x14ac:dyDescent="0.25">
      <c r="A968"/>
    </row>
    <row r="969" spans="1:1" ht="15" customHeight="1" x14ac:dyDescent="0.25">
      <c r="A969"/>
    </row>
    <row r="970" spans="1:1" ht="15" customHeight="1" x14ac:dyDescent="0.25">
      <c r="A970"/>
    </row>
    <row r="971" spans="1:1" ht="15" customHeight="1" x14ac:dyDescent="0.25">
      <c r="A971"/>
    </row>
    <row r="972" spans="1:1" ht="15" customHeight="1" x14ac:dyDescent="0.25">
      <c r="A972"/>
    </row>
    <row r="973" spans="1:1" ht="15" customHeight="1" x14ac:dyDescent="0.25">
      <c r="A973"/>
    </row>
    <row r="974" spans="1:1" ht="15" customHeight="1" x14ac:dyDescent="0.25">
      <c r="A974"/>
    </row>
    <row r="975" spans="1:1" ht="15" customHeight="1" x14ac:dyDescent="0.25">
      <c r="A975"/>
    </row>
    <row r="976" spans="1:1" ht="15" customHeight="1" x14ac:dyDescent="0.25">
      <c r="A976"/>
    </row>
    <row r="977" spans="1:1" ht="15" customHeight="1" x14ac:dyDescent="0.25">
      <c r="A977"/>
    </row>
    <row r="978" spans="1:1" ht="15" customHeight="1" x14ac:dyDescent="0.25">
      <c r="A978"/>
    </row>
    <row r="979" spans="1:1" ht="15" customHeight="1" x14ac:dyDescent="0.25">
      <c r="A979"/>
    </row>
    <row r="980" spans="1:1" ht="15" customHeight="1" x14ac:dyDescent="0.25">
      <c r="A980"/>
    </row>
    <row r="981" spans="1:1" ht="15" customHeight="1" x14ac:dyDescent="0.25">
      <c r="A981"/>
    </row>
    <row r="982" spans="1:1" ht="15" customHeight="1" x14ac:dyDescent="0.25">
      <c r="A982"/>
    </row>
    <row r="983" spans="1:1" ht="15" customHeight="1" x14ac:dyDescent="0.25">
      <c r="A983"/>
    </row>
    <row r="984" spans="1:1" ht="15" customHeight="1" x14ac:dyDescent="0.25">
      <c r="A984"/>
    </row>
    <row r="985" spans="1:1" ht="15" customHeight="1" x14ac:dyDescent="0.25">
      <c r="A985"/>
    </row>
    <row r="986" spans="1:1" ht="15" customHeight="1" x14ac:dyDescent="0.25">
      <c r="A986"/>
    </row>
    <row r="987" spans="1:1" ht="15" customHeight="1" x14ac:dyDescent="0.25">
      <c r="A987"/>
    </row>
    <row r="988" spans="1:1" ht="15" customHeight="1" x14ac:dyDescent="0.25">
      <c r="A988"/>
    </row>
    <row r="989" spans="1:1" ht="15" customHeight="1" x14ac:dyDescent="0.25">
      <c r="A989"/>
    </row>
    <row r="990" spans="1:1" ht="15" customHeight="1" x14ac:dyDescent="0.25">
      <c r="A990"/>
    </row>
    <row r="991" spans="1:1" ht="15" customHeight="1" x14ac:dyDescent="0.25">
      <c r="A991"/>
    </row>
    <row r="992" spans="1:1" ht="15" customHeight="1" x14ac:dyDescent="0.25">
      <c r="A992"/>
    </row>
    <row r="993" spans="1:1" ht="15" customHeight="1" x14ac:dyDescent="0.25">
      <c r="A993"/>
    </row>
    <row r="994" spans="1:1" ht="15" customHeight="1" x14ac:dyDescent="0.25">
      <c r="A994"/>
    </row>
    <row r="995" spans="1:1" ht="15" customHeight="1" x14ac:dyDescent="0.25">
      <c r="A995"/>
    </row>
    <row r="996" spans="1:1" ht="15" customHeight="1" x14ac:dyDescent="0.25">
      <c r="A996"/>
    </row>
    <row r="997" spans="1:1" ht="15" customHeight="1" x14ac:dyDescent="0.25">
      <c r="A997"/>
    </row>
    <row r="998" spans="1:1" ht="15" customHeight="1" x14ac:dyDescent="0.25">
      <c r="A998"/>
    </row>
    <row r="999" spans="1:1" ht="15" customHeight="1" x14ac:dyDescent="0.25">
      <c r="A999"/>
    </row>
    <row r="1000" spans="1:1" ht="15" customHeight="1" x14ac:dyDescent="0.25">
      <c r="A1000"/>
    </row>
    <row r="1001" spans="1:1" ht="15" customHeight="1" x14ac:dyDescent="0.25">
      <c r="A1001"/>
    </row>
    <row r="1002" spans="1:1" ht="15" customHeight="1" x14ac:dyDescent="0.25">
      <c r="A1002"/>
    </row>
    <row r="1003" spans="1:1" ht="15" customHeight="1" x14ac:dyDescent="0.25">
      <c r="A1003"/>
    </row>
    <row r="1004" spans="1:1" ht="15" customHeight="1" x14ac:dyDescent="0.25">
      <c r="A1004"/>
    </row>
    <row r="1005" spans="1:1" ht="15" customHeight="1" x14ac:dyDescent="0.25">
      <c r="A1005"/>
    </row>
    <row r="1006" spans="1:1" ht="15" customHeight="1" x14ac:dyDescent="0.25">
      <c r="A1006"/>
    </row>
    <row r="1007" spans="1:1" ht="15" customHeight="1" x14ac:dyDescent="0.25">
      <c r="A1007"/>
    </row>
    <row r="1008" spans="1:1" ht="15" customHeight="1" x14ac:dyDescent="0.25">
      <c r="A1008"/>
    </row>
    <row r="1009" spans="1:1" ht="15" customHeight="1" x14ac:dyDescent="0.25">
      <c r="A1009"/>
    </row>
    <row r="1010" spans="1:1" ht="15" customHeight="1" x14ac:dyDescent="0.25">
      <c r="A1010"/>
    </row>
    <row r="1011" spans="1:1" ht="15" customHeight="1" x14ac:dyDescent="0.25">
      <c r="A1011"/>
    </row>
    <row r="1012" spans="1:1" ht="15" customHeight="1" x14ac:dyDescent="0.25">
      <c r="A1012"/>
    </row>
    <row r="1013" spans="1:1" ht="15" customHeight="1" x14ac:dyDescent="0.25">
      <c r="A1013"/>
    </row>
    <row r="1014" spans="1:1" ht="15" customHeight="1" x14ac:dyDescent="0.25">
      <c r="A1014"/>
    </row>
    <row r="1015" spans="1:1" ht="15" customHeight="1" x14ac:dyDescent="0.25">
      <c r="A1015"/>
    </row>
    <row r="1016" spans="1:1" ht="15" customHeight="1" x14ac:dyDescent="0.25">
      <c r="A1016"/>
    </row>
    <row r="1017" spans="1:1" ht="15" customHeight="1" x14ac:dyDescent="0.25">
      <c r="A1017"/>
    </row>
    <row r="1018" spans="1:1" ht="15" customHeight="1" x14ac:dyDescent="0.25">
      <c r="A1018"/>
    </row>
    <row r="1019" spans="1:1" ht="15" customHeight="1" x14ac:dyDescent="0.25">
      <c r="A1019"/>
    </row>
    <row r="1020" spans="1:1" ht="15" customHeight="1" x14ac:dyDescent="0.25">
      <c r="A1020"/>
    </row>
    <row r="1021" spans="1:1" ht="15" customHeight="1" x14ac:dyDescent="0.25">
      <c r="A1021"/>
    </row>
    <row r="1022" spans="1:1" ht="15" customHeight="1" x14ac:dyDescent="0.25">
      <c r="A1022"/>
    </row>
    <row r="1023" spans="1:1" ht="15" customHeight="1" x14ac:dyDescent="0.25">
      <c r="A1023"/>
    </row>
    <row r="1024" spans="1:1" ht="15" customHeight="1" x14ac:dyDescent="0.25">
      <c r="A1024"/>
    </row>
    <row r="1025" spans="1:1" ht="15" customHeight="1" x14ac:dyDescent="0.25">
      <c r="A1025"/>
    </row>
    <row r="1026" spans="1:1" ht="15" customHeight="1" x14ac:dyDescent="0.25">
      <c r="A1026"/>
    </row>
    <row r="1027" spans="1:1" ht="15" customHeight="1" x14ac:dyDescent="0.25">
      <c r="A1027"/>
    </row>
    <row r="1028" spans="1:1" ht="15" customHeight="1" x14ac:dyDescent="0.25">
      <c r="A1028"/>
    </row>
    <row r="1029" spans="1:1" ht="15" customHeight="1" x14ac:dyDescent="0.25">
      <c r="A1029"/>
    </row>
    <row r="1030" spans="1:1" ht="15" customHeight="1" x14ac:dyDescent="0.25">
      <c r="A1030"/>
    </row>
    <row r="1031" spans="1:1" ht="15" customHeight="1" x14ac:dyDescent="0.25">
      <c r="A1031"/>
    </row>
    <row r="1032" spans="1:1" ht="15" customHeight="1" x14ac:dyDescent="0.25">
      <c r="A1032"/>
    </row>
    <row r="1033" spans="1:1" ht="15" customHeight="1" x14ac:dyDescent="0.25">
      <c r="A1033"/>
    </row>
    <row r="1034" spans="1:1" ht="15" customHeight="1" x14ac:dyDescent="0.25">
      <c r="A1034"/>
    </row>
    <row r="1035" spans="1:1" ht="15" customHeight="1" x14ac:dyDescent="0.25">
      <c r="A1035"/>
    </row>
    <row r="1036" spans="1:1" ht="15" customHeight="1" x14ac:dyDescent="0.25">
      <c r="A1036"/>
    </row>
    <row r="1037" spans="1:1" ht="15" customHeight="1" x14ac:dyDescent="0.25">
      <c r="A1037"/>
    </row>
    <row r="1038" spans="1:1" ht="15" customHeight="1" x14ac:dyDescent="0.25">
      <c r="A1038"/>
    </row>
    <row r="1039" spans="1:1" ht="15" customHeight="1" x14ac:dyDescent="0.25">
      <c r="A1039"/>
    </row>
    <row r="1040" spans="1:1" ht="15" customHeight="1" x14ac:dyDescent="0.25">
      <c r="A1040"/>
    </row>
    <row r="1041" spans="1:1" ht="15" customHeight="1" x14ac:dyDescent="0.25">
      <c r="A1041"/>
    </row>
    <row r="1042" spans="1:1" ht="15" customHeight="1" x14ac:dyDescent="0.25">
      <c r="A1042"/>
    </row>
    <row r="1043" spans="1:1" ht="15" customHeight="1" x14ac:dyDescent="0.25">
      <c r="A1043"/>
    </row>
    <row r="1044" spans="1:1" ht="15" customHeight="1" x14ac:dyDescent="0.25">
      <c r="A1044"/>
    </row>
    <row r="1045" spans="1:1" ht="15" customHeight="1" x14ac:dyDescent="0.25">
      <c r="A1045"/>
    </row>
    <row r="1046" spans="1:1" ht="15" customHeight="1" x14ac:dyDescent="0.25">
      <c r="A1046"/>
    </row>
    <row r="1047" spans="1:1" ht="15" customHeight="1" x14ac:dyDescent="0.25">
      <c r="A1047"/>
    </row>
    <row r="1048" spans="1:1" ht="15" customHeight="1" x14ac:dyDescent="0.25">
      <c r="A1048"/>
    </row>
    <row r="1049" spans="1:1" ht="15" customHeight="1" x14ac:dyDescent="0.25">
      <c r="A1049"/>
    </row>
    <row r="1050" spans="1:1" ht="15" customHeight="1" x14ac:dyDescent="0.25">
      <c r="A1050"/>
    </row>
    <row r="1051" spans="1:1" ht="15" customHeight="1" x14ac:dyDescent="0.25">
      <c r="A1051"/>
    </row>
    <row r="1052" spans="1:1" ht="15" customHeight="1" x14ac:dyDescent="0.25">
      <c r="A1052"/>
    </row>
    <row r="1053" spans="1:1" ht="15" customHeight="1" x14ac:dyDescent="0.25">
      <c r="A1053"/>
    </row>
    <row r="1054" spans="1:1" ht="15" customHeight="1" x14ac:dyDescent="0.25">
      <c r="A1054"/>
    </row>
    <row r="1055" spans="1:1" ht="15" customHeight="1" x14ac:dyDescent="0.25">
      <c r="A1055"/>
    </row>
    <row r="1056" spans="1:1" ht="15" customHeight="1" x14ac:dyDescent="0.25">
      <c r="A1056"/>
    </row>
    <row r="1057" spans="1:1" ht="15" customHeight="1" x14ac:dyDescent="0.25">
      <c r="A1057"/>
    </row>
    <row r="1058" spans="1:1" ht="15" customHeight="1" x14ac:dyDescent="0.25">
      <c r="A1058"/>
    </row>
    <row r="1059" spans="1:1" ht="15" customHeight="1" x14ac:dyDescent="0.25">
      <c r="A1059"/>
    </row>
    <row r="1060" spans="1:1" ht="15" customHeight="1" x14ac:dyDescent="0.25">
      <c r="A1060"/>
    </row>
    <row r="1061" spans="1:1" ht="15" customHeight="1" x14ac:dyDescent="0.25">
      <c r="A1061"/>
    </row>
    <row r="1062" spans="1:1" ht="15" customHeight="1" x14ac:dyDescent="0.25">
      <c r="A1062"/>
    </row>
    <row r="1063" spans="1:1" ht="15" customHeight="1" x14ac:dyDescent="0.25">
      <c r="A1063"/>
    </row>
    <row r="1064" spans="1:1" ht="15" customHeight="1" x14ac:dyDescent="0.25">
      <c r="A1064"/>
    </row>
    <row r="1065" spans="1:1" ht="15" customHeight="1" x14ac:dyDescent="0.25">
      <c r="A1065"/>
    </row>
    <row r="1066" spans="1:1" ht="15" customHeight="1" x14ac:dyDescent="0.25">
      <c r="A1066"/>
    </row>
    <row r="1067" spans="1:1" ht="15" customHeight="1" x14ac:dyDescent="0.25">
      <c r="A1067"/>
    </row>
    <row r="1068" spans="1:1" ht="15" customHeight="1" x14ac:dyDescent="0.25">
      <c r="A1068"/>
    </row>
    <row r="1069" spans="1:1" ht="15" customHeight="1" x14ac:dyDescent="0.25">
      <c r="A1069"/>
    </row>
    <row r="1070" spans="1:1" ht="15" customHeight="1" x14ac:dyDescent="0.25">
      <c r="A1070"/>
    </row>
    <row r="1071" spans="1:1" ht="15" customHeight="1" x14ac:dyDescent="0.25">
      <c r="A1071"/>
    </row>
    <row r="1072" spans="1:1" ht="15" customHeight="1" x14ac:dyDescent="0.25">
      <c r="A1072"/>
    </row>
    <row r="1073" spans="1:1" ht="15" customHeight="1" x14ac:dyDescent="0.25">
      <c r="A1073"/>
    </row>
    <row r="1074" spans="1:1" ht="15" customHeight="1" x14ac:dyDescent="0.25">
      <c r="A1074"/>
    </row>
    <row r="1075" spans="1:1" ht="15" customHeight="1" x14ac:dyDescent="0.25">
      <c r="A1075"/>
    </row>
    <row r="1076" spans="1:1" ht="15" customHeight="1" x14ac:dyDescent="0.25">
      <c r="A1076"/>
    </row>
    <row r="1077" spans="1:1" ht="15" customHeight="1" x14ac:dyDescent="0.25">
      <c r="A1077"/>
    </row>
    <row r="1078" spans="1:1" ht="15" customHeight="1" x14ac:dyDescent="0.25">
      <c r="A1078"/>
    </row>
    <row r="1079" spans="1:1" ht="15" customHeight="1" x14ac:dyDescent="0.25">
      <c r="A1079"/>
    </row>
    <row r="1080" spans="1:1" ht="15" customHeight="1" x14ac:dyDescent="0.25">
      <c r="A1080"/>
    </row>
    <row r="1081" spans="1:1" ht="15" customHeight="1" x14ac:dyDescent="0.25">
      <c r="A1081"/>
    </row>
    <row r="1082" spans="1:1" ht="15" customHeight="1" x14ac:dyDescent="0.25">
      <c r="A1082"/>
    </row>
    <row r="1083" spans="1:1" ht="15" customHeight="1" x14ac:dyDescent="0.25">
      <c r="A1083"/>
    </row>
    <row r="1084" spans="1:1" ht="15" customHeight="1" x14ac:dyDescent="0.25">
      <c r="A1084"/>
    </row>
    <row r="1085" spans="1:1" ht="15" customHeight="1" x14ac:dyDescent="0.25">
      <c r="A1085"/>
    </row>
    <row r="1086" spans="1:1" ht="15" customHeight="1" x14ac:dyDescent="0.25">
      <c r="A1086"/>
    </row>
    <row r="1087" spans="1:1" ht="15" customHeight="1" x14ac:dyDescent="0.25">
      <c r="A1087"/>
    </row>
    <row r="1088" spans="1:1" ht="15" customHeight="1" x14ac:dyDescent="0.25">
      <c r="A1088"/>
    </row>
    <row r="1089" spans="1:1" ht="15" customHeight="1" x14ac:dyDescent="0.25">
      <c r="A1089"/>
    </row>
    <row r="1090" spans="1:1" ht="15" customHeight="1" x14ac:dyDescent="0.25">
      <c r="A1090"/>
    </row>
    <row r="1091" spans="1:1" ht="15" customHeight="1" x14ac:dyDescent="0.25">
      <c r="A1091"/>
    </row>
    <row r="1092" spans="1:1" ht="15" customHeight="1" x14ac:dyDescent="0.25">
      <c r="A1092"/>
    </row>
    <row r="1093" spans="1:1" ht="15" customHeight="1" x14ac:dyDescent="0.25">
      <c r="A1093"/>
    </row>
    <row r="1094" spans="1:1" ht="15" customHeight="1" x14ac:dyDescent="0.25">
      <c r="A1094"/>
    </row>
    <row r="1095" spans="1:1" ht="15" customHeight="1" x14ac:dyDescent="0.25">
      <c r="A1095"/>
    </row>
    <row r="1096" spans="1:1" ht="15" customHeight="1" x14ac:dyDescent="0.25">
      <c r="A1096"/>
    </row>
    <row r="1097" spans="1:1" ht="15" customHeight="1" x14ac:dyDescent="0.25">
      <c r="A1097"/>
    </row>
    <row r="1098" spans="1:1" ht="15" customHeight="1" x14ac:dyDescent="0.25">
      <c r="A1098"/>
    </row>
    <row r="1099" spans="1:1" ht="15" customHeight="1" x14ac:dyDescent="0.25">
      <c r="A1099"/>
    </row>
    <row r="1100" spans="1:1" ht="15" customHeight="1" x14ac:dyDescent="0.25">
      <c r="A1100"/>
    </row>
    <row r="1101" spans="1:1" ht="15" customHeight="1" x14ac:dyDescent="0.25">
      <c r="A1101"/>
    </row>
    <row r="1102" spans="1:1" ht="15" customHeight="1" x14ac:dyDescent="0.25">
      <c r="A1102"/>
    </row>
    <row r="1103" spans="1:1" ht="15" customHeight="1" x14ac:dyDescent="0.25">
      <c r="A1103"/>
    </row>
    <row r="1104" spans="1:1" ht="15" customHeight="1" x14ac:dyDescent="0.25">
      <c r="A1104"/>
    </row>
    <row r="1105" spans="1:1" ht="15" customHeight="1" x14ac:dyDescent="0.25">
      <c r="A1105"/>
    </row>
    <row r="1106" spans="1:1" ht="15" customHeight="1" x14ac:dyDescent="0.25">
      <c r="A1106"/>
    </row>
    <row r="1107" spans="1:1" ht="15" customHeight="1" x14ac:dyDescent="0.25">
      <c r="A1107"/>
    </row>
    <row r="1108" spans="1:1" ht="15" customHeight="1" x14ac:dyDescent="0.25">
      <c r="A1108"/>
    </row>
    <row r="1109" spans="1:1" ht="15" customHeight="1" x14ac:dyDescent="0.25">
      <c r="A1109"/>
    </row>
    <row r="1110" spans="1:1" ht="15" customHeight="1" x14ac:dyDescent="0.25">
      <c r="A1110"/>
    </row>
    <row r="1111" spans="1:1" ht="15" customHeight="1" x14ac:dyDescent="0.25">
      <c r="A1111"/>
    </row>
    <row r="1112" spans="1:1" ht="15" customHeight="1" x14ac:dyDescent="0.25">
      <c r="A1112"/>
    </row>
    <row r="1113" spans="1:1" ht="15" customHeight="1" x14ac:dyDescent="0.25">
      <c r="A1113"/>
    </row>
    <row r="1114" spans="1:1" ht="15" customHeight="1" x14ac:dyDescent="0.25">
      <c r="A1114"/>
    </row>
    <row r="1115" spans="1:1" ht="15" customHeight="1" x14ac:dyDescent="0.25">
      <c r="A1115"/>
    </row>
    <row r="1116" spans="1:1" ht="15" customHeight="1" x14ac:dyDescent="0.25">
      <c r="A1116"/>
    </row>
    <row r="1117" spans="1:1" ht="15" customHeight="1" x14ac:dyDescent="0.25">
      <c r="A1117"/>
    </row>
    <row r="1118" spans="1:1" ht="15" customHeight="1" x14ac:dyDescent="0.25">
      <c r="A1118"/>
    </row>
    <row r="1119" spans="1:1" ht="15" customHeight="1" x14ac:dyDescent="0.25">
      <c r="A1119"/>
    </row>
    <row r="1120" spans="1:1" ht="15" customHeight="1" x14ac:dyDescent="0.25">
      <c r="A1120"/>
    </row>
    <row r="1121" spans="1:1" ht="15" customHeight="1" x14ac:dyDescent="0.25">
      <c r="A1121"/>
    </row>
    <row r="1122" spans="1:1" ht="15" customHeight="1" x14ac:dyDescent="0.25">
      <c r="A1122"/>
    </row>
    <row r="1123" spans="1:1" ht="15" customHeight="1" x14ac:dyDescent="0.25">
      <c r="A1123"/>
    </row>
    <row r="1124" spans="1:1" ht="15" customHeight="1" x14ac:dyDescent="0.25">
      <c r="A1124"/>
    </row>
    <row r="1125" spans="1:1" ht="15" customHeight="1" x14ac:dyDescent="0.25">
      <c r="A1125"/>
    </row>
    <row r="1126" spans="1:1" ht="15" customHeight="1" x14ac:dyDescent="0.25">
      <c r="A1126"/>
    </row>
    <row r="1127" spans="1:1" ht="15" customHeight="1" x14ac:dyDescent="0.25">
      <c r="A1127"/>
    </row>
    <row r="1128" spans="1:1" ht="15" customHeight="1" x14ac:dyDescent="0.25">
      <c r="A1128"/>
    </row>
    <row r="1129" spans="1:1" ht="15" customHeight="1" x14ac:dyDescent="0.25">
      <c r="A1129"/>
    </row>
    <row r="1130" spans="1:1" ht="15" customHeight="1" x14ac:dyDescent="0.25">
      <c r="A1130"/>
    </row>
    <row r="1131" spans="1:1" ht="15" customHeight="1" x14ac:dyDescent="0.25">
      <c r="A1131"/>
    </row>
    <row r="1132" spans="1:1" ht="15" customHeight="1" x14ac:dyDescent="0.25">
      <c r="A1132"/>
    </row>
    <row r="1133" spans="1:1" ht="15" customHeight="1" x14ac:dyDescent="0.25">
      <c r="A1133"/>
    </row>
    <row r="1134" spans="1:1" ht="15" customHeight="1" x14ac:dyDescent="0.25">
      <c r="A1134"/>
    </row>
    <row r="1135" spans="1:1" ht="15" customHeight="1" x14ac:dyDescent="0.25">
      <c r="A1135"/>
    </row>
    <row r="1136" spans="1:1" ht="15" customHeight="1" x14ac:dyDescent="0.25">
      <c r="A1136"/>
    </row>
    <row r="1137" spans="1:1" ht="15" customHeight="1" x14ac:dyDescent="0.25">
      <c r="A1137"/>
    </row>
    <row r="1138" spans="1:1" ht="15" customHeight="1" x14ac:dyDescent="0.25">
      <c r="A1138"/>
    </row>
    <row r="1139" spans="1:1" ht="15" customHeight="1" x14ac:dyDescent="0.25">
      <c r="A1139"/>
    </row>
    <row r="1140" spans="1:1" ht="15" customHeight="1" x14ac:dyDescent="0.25">
      <c r="A1140"/>
    </row>
    <row r="1141" spans="1:1" ht="15" customHeight="1" x14ac:dyDescent="0.25">
      <c r="A1141"/>
    </row>
    <row r="1142" spans="1:1" ht="15" customHeight="1" x14ac:dyDescent="0.25">
      <c r="A1142"/>
    </row>
    <row r="1143" spans="1:1" ht="15" customHeight="1" x14ac:dyDescent="0.25">
      <c r="A1143"/>
    </row>
    <row r="1144" spans="1:1" ht="15" customHeight="1" x14ac:dyDescent="0.25">
      <c r="A1144"/>
    </row>
    <row r="1145" spans="1:1" ht="15" customHeight="1" x14ac:dyDescent="0.25">
      <c r="A1145"/>
    </row>
    <row r="1146" spans="1:1" ht="15" customHeight="1" x14ac:dyDescent="0.25">
      <c r="A1146"/>
    </row>
    <row r="1147" spans="1:1" ht="15" customHeight="1" x14ac:dyDescent="0.25">
      <c r="A1147"/>
    </row>
    <row r="1148" spans="1:1" ht="15" customHeight="1" x14ac:dyDescent="0.25">
      <c r="A1148"/>
    </row>
    <row r="1149" spans="1:1" ht="15" customHeight="1" x14ac:dyDescent="0.25">
      <c r="A1149"/>
    </row>
    <row r="1150" spans="1:1" ht="15" customHeight="1" x14ac:dyDescent="0.25">
      <c r="A1150"/>
    </row>
    <row r="1151" spans="1:1" ht="15" customHeight="1" x14ac:dyDescent="0.25">
      <c r="A1151"/>
    </row>
    <row r="1152" spans="1:1" ht="15" customHeight="1" x14ac:dyDescent="0.25">
      <c r="A1152"/>
    </row>
    <row r="1153" spans="1:1" ht="15" customHeight="1" x14ac:dyDescent="0.25">
      <c r="A1153"/>
    </row>
    <row r="1154" spans="1:1" ht="15" customHeight="1" x14ac:dyDescent="0.25">
      <c r="A1154"/>
    </row>
    <row r="1155" spans="1:1" ht="15" customHeight="1" x14ac:dyDescent="0.25">
      <c r="A1155"/>
    </row>
    <row r="1156" spans="1:1" ht="15" customHeight="1" x14ac:dyDescent="0.25">
      <c r="A1156"/>
    </row>
    <row r="1157" spans="1:1" ht="15" customHeight="1" x14ac:dyDescent="0.25">
      <c r="A1157"/>
    </row>
    <row r="1158" spans="1:1" ht="15" customHeight="1" x14ac:dyDescent="0.25">
      <c r="A1158"/>
    </row>
    <row r="1159" spans="1:1" ht="15" customHeight="1" x14ac:dyDescent="0.25">
      <c r="A1159"/>
    </row>
    <row r="1160" spans="1:1" ht="15" customHeight="1" x14ac:dyDescent="0.25">
      <c r="A1160"/>
    </row>
    <row r="1161" spans="1:1" ht="15" customHeight="1" x14ac:dyDescent="0.25">
      <c r="A1161"/>
    </row>
    <row r="1162" spans="1:1" ht="15" customHeight="1" x14ac:dyDescent="0.25">
      <c r="A1162"/>
    </row>
    <row r="1163" spans="1:1" ht="15" customHeight="1" x14ac:dyDescent="0.25">
      <c r="A1163"/>
    </row>
    <row r="1164" spans="1:1" ht="15" customHeight="1" x14ac:dyDescent="0.25">
      <c r="A1164"/>
    </row>
    <row r="1165" spans="1:1" ht="15" customHeight="1" x14ac:dyDescent="0.25">
      <c r="A1165"/>
    </row>
    <row r="1166" spans="1:1" ht="15" customHeight="1" x14ac:dyDescent="0.25">
      <c r="A1166"/>
    </row>
    <row r="1167" spans="1:1" ht="15" customHeight="1" x14ac:dyDescent="0.25">
      <c r="A1167"/>
    </row>
    <row r="1168" spans="1:1" ht="15" customHeight="1" x14ac:dyDescent="0.25">
      <c r="A1168"/>
    </row>
    <row r="1169" spans="1:1" ht="15" customHeight="1" x14ac:dyDescent="0.25">
      <c r="A1169"/>
    </row>
    <row r="1170" spans="1:1" ht="15" customHeight="1" x14ac:dyDescent="0.25">
      <c r="A1170"/>
    </row>
    <row r="1171" spans="1:1" ht="15" customHeight="1" x14ac:dyDescent="0.25">
      <c r="A1171"/>
    </row>
    <row r="1172" spans="1:1" ht="15" customHeight="1" x14ac:dyDescent="0.25">
      <c r="A1172"/>
    </row>
    <row r="1173" spans="1:1" ht="15" customHeight="1" x14ac:dyDescent="0.25">
      <c r="A1173"/>
    </row>
    <row r="1174" spans="1:1" ht="15" customHeight="1" x14ac:dyDescent="0.25">
      <c r="A1174"/>
    </row>
    <row r="1175" spans="1:1" ht="15" customHeight="1" x14ac:dyDescent="0.25">
      <c r="A1175"/>
    </row>
    <row r="1176" spans="1:1" ht="15" customHeight="1" x14ac:dyDescent="0.25">
      <c r="A1176"/>
    </row>
    <row r="1177" spans="1:1" ht="15" customHeight="1" x14ac:dyDescent="0.25">
      <c r="A1177"/>
    </row>
    <row r="1178" spans="1:1" ht="15" customHeight="1" x14ac:dyDescent="0.25">
      <c r="A1178"/>
    </row>
    <row r="1179" spans="1:1" ht="15" customHeight="1" x14ac:dyDescent="0.25">
      <c r="A1179"/>
    </row>
    <row r="1180" spans="1:1" ht="15" customHeight="1" x14ac:dyDescent="0.25">
      <c r="A1180"/>
    </row>
    <row r="1181" spans="1:1" ht="15" customHeight="1" x14ac:dyDescent="0.25">
      <c r="A1181"/>
    </row>
    <row r="1182" spans="1:1" ht="15" customHeight="1" x14ac:dyDescent="0.25">
      <c r="A1182"/>
    </row>
    <row r="1183" spans="1:1" ht="15" customHeight="1" x14ac:dyDescent="0.25">
      <c r="A1183"/>
    </row>
    <row r="1184" spans="1:1" ht="15" customHeight="1" x14ac:dyDescent="0.25">
      <c r="A1184"/>
    </row>
    <row r="1185" spans="1:1" ht="15" customHeight="1" x14ac:dyDescent="0.25">
      <c r="A1185"/>
    </row>
    <row r="1186" spans="1:1" ht="15" customHeight="1" x14ac:dyDescent="0.25">
      <c r="A1186"/>
    </row>
    <row r="1187" spans="1:1" ht="15" customHeight="1" x14ac:dyDescent="0.25">
      <c r="A1187"/>
    </row>
    <row r="1188" spans="1:1" ht="15" customHeight="1" x14ac:dyDescent="0.25">
      <c r="A1188"/>
    </row>
    <row r="1189" spans="1:1" ht="15" customHeight="1" x14ac:dyDescent="0.25">
      <c r="A1189"/>
    </row>
    <row r="1190" spans="1:1" ht="15" customHeight="1" x14ac:dyDescent="0.25">
      <c r="A1190"/>
    </row>
    <row r="1191" spans="1:1" ht="15" customHeight="1" x14ac:dyDescent="0.25">
      <c r="A1191"/>
    </row>
    <row r="1192" spans="1:1" ht="15" customHeight="1" x14ac:dyDescent="0.25">
      <c r="A1192"/>
    </row>
    <row r="1193" spans="1:1" ht="15" customHeight="1" x14ac:dyDescent="0.25">
      <c r="A1193"/>
    </row>
    <row r="1194" spans="1:1" ht="15" customHeight="1" x14ac:dyDescent="0.25">
      <c r="A1194"/>
    </row>
    <row r="1195" spans="1:1" ht="15" customHeight="1" x14ac:dyDescent="0.25">
      <c r="A1195"/>
    </row>
    <row r="1196" spans="1:1" ht="15" customHeight="1" x14ac:dyDescent="0.25">
      <c r="A1196"/>
    </row>
    <row r="1197" spans="1:1" ht="15" customHeight="1" x14ac:dyDescent="0.25">
      <c r="A1197"/>
    </row>
    <row r="1198" spans="1:1" ht="15" customHeight="1" x14ac:dyDescent="0.25">
      <c r="A1198"/>
    </row>
    <row r="1199" spans="1:1" ht="15" customHeight="1" x14ac:dyDescent="0.25">
      <c r="A1199"/>
    </row>
    <row r="1200" spans="1:1" ht="15" customHeight="1" x14ac:dyDescent="0.25">
      <c r="A1200"/>
    </row>
    <row r="1201" spans="1:1" ht="15" customHeight="1" x14ac:dyDescent="0.25">
      <c r="A1201"/>
    </row>
    <row r="1202" spans="1:1" ht="15" customHeight="1" x14ac:dyDescent="0.25">
      <c r="A1202"/>
    </row>
    <row r="1203" spans="1:1" ht="15" customHeight="1" x14ac:dyDescent="0.25">
      <c r="A1203"/>
    </row>
    <row r="1204" spans="1:1" ht="15" customHeight="1" x14ac:dyDescent="0.25">
      <c r="A1204"/>
    </row>
    <row r="1205" spans="1:1" ht="15" customHeight="1" x14ac:dyDescent="0.25">
      <c r="A1205"/>
    </row>
    <row r="1206" spans="1:1" ht="15" customHeight="1" x14ac:dyDescent="0.25">
      <c r="A1206"/>
    </row>
    <row r="1207" spans="1:1" ht="15" customHeight="1" x14ac:dyDescent="0.25">
      <c r="A1207"/>
    </row>
    <row r="1208" spans="1:1" ht="15" customHeight="1" x14ac:dyDescent="0.25">
      <c r="A1208"/>
    </row>
    <row r="1209" spans="1:1" ht="15" customHeight="1" x14ac:dyDescent="0.25">
      <c r="A1209"/>
    </row>
    <row r="1210" spans="1:1" ht="15" customHeight="1" x14ac:dyDescent="0.25">
      <c r="A1210"/>
    </row>
    <row r="1211" spans="1:1" ht="15" customHeight="1" x14ac:dyDescent="0.25">
      <c r="A1211"/>
    </row>
    <row r="1212" spans="1:1" ht="15" customHeight="1" x14ac:dyDescent="0.25">
      <c r="A1212"/>
    </row>
    <row r="1213" spans="1:1" ht="15" customHeight="1" x14ac:dyDescent="0.25">
      <c r="A1213"/>
    </row>
    <row r="1214" spans="1:1" ht="15" customHeight="1" x14ac:dyDescent="0.25">
      <c r="A1214"/>
    </row>
    <row r="1215" spans="1:1" ht="15" customHeight="1" x14ac:dyDescent="0.25">
      <c r="A1215"/>
    </row>
    <row r="1216" spans="1:1" ht="15" customHeight="1" x14ac:dyDescent="0.25">
      <c r="A1216"/>
    </row>
    <row r="1217" spans="1:1" ht="15" customHeight="1" x14ac:dyDescent="0.25">
      <c r="A1217"/>
    </row>
    <row r="1218" spans="1:1" ht="15" customHeight="1" x14ac:dyDescent="0.25">
      <c r="A1218"/>
    </row>
    <row r="1219" spans="1:1" ht="15" customHeight="1" x14ac:dyDescent="0.25">
      <c r="A1219"/>
    </row>
    <row r="1220" spans="1:1" ht="15" customHeight="1" x14ac:dyDescent="0.25">
      <c r="A1220"/>
    </row>
    <row r="1221" spans="1:1" ht="15" customHeight="1" x14ac:dyDescent="0.25">
      <c r="A1221"/>
    </row>
    <row r="1222" spans="1:1" ht="15" customHeight="1" x14ac:dyDescent="0.25">
      <c r="A1222"/>
    </row>
    <row r="1223" spans="1:1" ht="15" customHeight="1" x14ac:dyDescent="0.25">
      <c r="A1223"/>
    </row>
    <row r="1224" spans="1:1" ht="15" customHeight="1" x14ac:dyDescent="0.25">
      <c r="A1224"/>
    </row>
    <row r="1225" spans="1:1" ht="15" customHeight="1" x14ac:dyDescent="0.25">
      <c r="A1225"/>
    </row>
    <row r="1226" spans="1:1" ht="15" customHeight="1" x14ac:dyDescent="0.25">
      <c r="A1226"/>
    </row>
    <row r="1227" spans="1:1" ht="15" customHeight="1" x14ac:dyDescent="0.25">
      <c r="A1227"/>
    </row>
    <row r="1228" spans="1:1" ht="15" customHeight="1" x14ac:dyDescent="0.25">
      <c r="A1228"/>
    </row>
    <row r="1229" spans="1:1" ht="15" customHeight="1" x14ac:dyDescent="0.25">
      <c r="A1229"/>
    </row>
    <row r="1230" spans="1:1" ht="15" customHeight="1" x14ac:dyDescent="0.25">
      <c r="A1230"/>
    </row>
    <row r="1231" spans="1:1" ht="15" customHeight="1" x14ac:dyDescent="0.25">
      <c r="A1231"/>
    </row>
    <row r="1232" spans="1:1" ht="15" customHeight="1" x14ac:dyDescent="0.25">
      <c r="A1232"/>
    </row>
    <row r="1233" spans="1:1" ht="15" customHeight="1" x14ac:dyDescent="0.25">
      <c r="A1233"/>
    </row>
    <row r="1234" spans="1:1" ht="15" customHeight="1" x14ac:dyDescent="0.25">
      <c r="A1234"/>
    </row>
    <row r="1235" spans="1:1" ht="15" customHeight="1" x14ac:dyDescent="0.25">
      <c r="A1235"/>
    </row>
    <row r="1236" spans="1:1" ht="15" customHeight="1" x14ac:dyDescent="0.25">
      <c r="A1236"/>
    </row>
    <row r="1237" spans="1:1" ht="15" customHeight="1" x14ac:dyDescent="0.25">
      <c r="A1237"/>
    </row>
    <row r="1238" spans="1:1" ht="15" customHeight="1" x14ac:dyDescent="0.25">
      <c r="A1238"/>
    </row>
    <row r="1239" spans="1:1" ht="15" customHeight="1" x14ac:dyDescent="0.25">
      <c r="A1239"/>
    </row>
    <row r="1240" spans="1:1" ht="15" customHeight="1" x14ac:dyDescent="0.25">
      <c r="A1240"/>
    </row>
    <row r="1241" spans="1:1" ht="15" customHeight="1" x14ac:dyDescent="0.25">
      <c r="A1241"/>
    </row>
    <row r="1242" spans="1:1" ht="15" customHeight="1" x14ac:dyDescent="0.25">
      <c r="A1242"/>
    </row>
    <row r="1243" spans="1:1" ht="15" customHeight="1" x14ac:dyDescent="0.25">
      <c r="A1243"/>
    </row>
    <row r="1244" spans="1:1" ht="15" customHeight="1" x14ac:dyDescent="0.25">
      <c r="A1244"/>
    </row>
    <row r="1245" spans="1:1" ht="15" customHeight="1" x14ac:dyDescent="0.25">
      <c r="A1245"/>
    </row>
    <row r="1246" spans="1:1" ht="15" customHeight="1" x14ac:dyDescent="0.25">
      <c r="A1246"/>
    </row>
    <row r="1247" spans="1:1" ht="15" customHeight="1" x14ac:dyDescent="0.25">
      <c r="A1247"/>
    </row>
    <row r="1248" spans="1:1" ht="15" customHeight="1" x14ac:dyDescent="0.25">
      <c r="A1248"/>
    </row>
    <row r="1249" spans="1:1" ht="15" customHeight="1" x14ac:dyDescent="0.25">
      <c r="A1249"/>
    </row>
    <row r="1250" spans="1:1" ht="15" customHeight="1" x14ac:dyDescent="0.25">
      <c r="A1250"/>
    </row>
    <row r="1251" spans="1:1" ht="15" customHeight="1" x14ac:dyDescent="0.25">
      <c r="A1251"/>
    </row>
    <row r="1252" spans="1:1" ht="15" customHeight="1" x14ac:dyDescent="0.25">
      <c r="A1252"/>
    </row>
    <row r="1253" spans="1:1" ht="15" customHeight="1" x14ac:dyDescent="0.25">
      <c r="A1253"/>
    </row>
    <row r="1254" spans="1:1" ht="15" customHeight="1" x14ac:dyDescent="0.25">
      <c r="A1254"/>
    </row>
    <row r="1255" spans="1:1" ht="15" customHeight="1" x14ac:dyDescent="0.25">
      <c r="A1255"/>
    </row>
    <row r="1256" spans="1:1" ht="15" customHeight="1" x14ac:dyDescent="0.25">
      <c r="A1256"/>
    </row>
    <row r="1257" spans="1:1" ht="15" customHeight="1" x14ac:dyDescent="0.25">
      <c r="A1257"/>
    </row>
    <row r="1258" spans="1:1" ht="15" customHeight="1" x14ac:dyDescent="0.25">
      <c r="A1258"/>
    </row>
    <row r="1259" spans="1:1" ht="15" customHeight="1" x14ac:dyDescent="0.25">
      <c r="A1259"/>
    </row>
    <row r="1260" spans="1:1" ht="15" customHeight="1" x14ac:dyDescent="0.25">
      <c r="A1260"/>
    </row>
    <row r="1261" spans="1:1" ht="15" customHeight="1" x14ac:dyDescent="0.25">
      <c r="A1261"/>
    </row>
    <row r="1262" spans="1:1" ht="15" customHeight="1" x14ac:dyDescent="0.25">
      <c r="A1262"/>
    </row>
    <row r="1263" spans="1:1" ht="15" customHeight="1" x14ac:dyDescent="0.25">
      <c r="A1263"/>
    </row>
    <row r="1264" spans="1:1" ht="15" customHeight="1" x14ac:dyDescent="0.25">
      <c r="A1264"/>
    </row>
    <row r="1265" spans="1:1" ht="15" customHeight="1" x14ac:dyDescent="0.25">
      <c r="A1265"/>
    </row>
    <row r="1266" spans="1:1" ht="15" customHeight="1" x14ac:dyDescent="0.25">
      <c r="A1266"/>
    </row>
    <row r="1267" spans="1:1" ht="15" customHeight="1" x14ac:dyDescent="0.25">
      <c r="A1267"/>
    </row>
    <row r="1268" spans="1:1" ht="15" customHeight="1" x14ac:dyDescent="0.25">
      <c r="A1268"/>
    </row>
    <row r="1269" spans="1:1" ht="15" customHeight="1" x14ac:dyDescent="0.25">
      <c r="A1269"/>
    </row>
    <row r="1270" spans="1:1" ht="15" customHeight="1" x14ac:dyDescent="0.25">
      <c r="A1270"/>
    </row>
    <row r="1271" spans="1:1" ht="15" customHeight="1" x14ac:dyDescent="0.25">
      <c r="A1271"/>
    </row>
    <row r="1272" spans="1:1" ht="15" customHeight="1" x14ac:dyDescent="0.25">
      <c r="A1272"/>
    </row>
    <row r="1273" spans="1:1" ht="15" customHeight="1" x14ac:dyDescent="0.25">
      <c r="A1273"/>
    </row>
    <row r="1274" spans="1:1" ht="15" customHeight="1" x14ac:dyDescent="0.25">
      <c r="A1274"/>
    </row>
    <row r="1275" spans="1:1" ht="15" customHeight="1" x14ac:dyDescent="0.25">
      <c r="A1275"/>
    </row>
    <row r="1276" spans="1:1" ht="15" customHeight="1" x14ac:dyDescent="0.25">
      <c r="A1276"/>
    </row>
    <row r="1277" spans="1:1" ht="15" customHeight="1" x14ac:dyDescent="0.25">
      <c r="A1277"/>
    </row>
    <row r="1278" spans="1:1" ht="15" customHeight="1" x14ac:dyDescent="0.25">
      <c r="A1278"/>
    </row>
    <row r="1279" spans="1:1" ht="15" customHeight="1" x14ac:dyDescent="0.25">
      <c r="A1279"/>
    </row>
    <row r="1280" spans="1:1" ht="15" customHeight="1" x14ac:dyDescent="0.25">
      <c r="A1280"/>
    </row>
    <row r="1281" spans="1:1" ht="15" customHeight="1" x14ac:dyDescent="0.25">
      <c r="A1281"/>
    </row>
    <row r="1282" spans="1:1" ht="15" customHeight="1" x14ac:dyDescent="0.25">
      <c r="A1282"/>
    </row>
    <row r="1283" spans="1:1" ht="15" customHeight="1" x14ac:dyDescent="0.25">
      <c r="A1283"/>
    </row>
    <row r="1284" spans="1:1" ht="15" customHeight="1" x14ac:dyDescent="0.25">
      <c r="A1284"/>
    </row>
    <row r="1285" spans="1:1" ht="15" customHeight="1" x14ac:dyDescent="0.25">
      <c r="A1285"/>
    </row>
    <row r="1286" spans="1:1" ht="15" customHeight="1" x14ac:dyDescent="0.25">
      <c r="A1286"/>
    </row>
    <row r="1287" spans="1:1" ht="15" customHeight="1" x14ac:dyDescent="0.25">
      <c r="A1287"/>
    </row>
    <row r="1288" spans="1:1" ht="15" customHeight="1" x14ac:dyDescent="0.25">
      <c r="A1288"/>
    </row>
    <row r="1289" spans="1:1" ht="15" customHeight="1" x14ac:dyDescent="0.25">
      <c r="A1289"/>
    </row>
    <row r="1290" spans="1:1" ht="15" customHeight="1" x14ac:dyDescent="0.25">
      <c r="A1290"/>
    </row>
    <row r="1291" spans="1:1" ht="15" customHeight="1" x14ac:dyDescent="0.25">
      <c r="A1291"/>
    </row>
    <row r="1292" spans="1:1" ht="15" customHeight="1" x14ac:dyDescent="0.25">
      <c r="A1292"/>
    </row>
    <row r="1293" spans="1:1" ht="15" customHeight="1" x14ac:dyDescent="0.25">
      <c r="A1293"/>
    </row>
    <row r="1294" spans="1:1" ht="15" customHeight="1" x14ac:dyDescent="0.25">
      <c r="A1294"/>
    </row>
    <row r="1295" spans="1:1" ht="15" customHeight="1" x14ac:dyDescent="0.25">
      <c r="A1295"/>
    </row>
    <row r="1296" spans="1:1" ht="15" customHeight="1" x14ac:dyDescent="0.25">
      <c r="A1296"/>
    </row>
    <row r="1297" spans="1:1" ht="15" customHeight="1" x14ac:dyDescent="0.25">
      <c r="A1297"/>
    </row>
    <row r="1298" spans="1:1" ht="15" customHeight="1" x14ac:dyDescent="0.25">
      <c r="A1298"/>
    </row>
    <row r="1299" spans="1:1" ht="15" customHeight="1" x14ac:dyDescent="0.25">
      <c r="A1299"/>
    </row>
    <row r="1300" spans="1:1" ht="15" customHeight="1" x14ac:dyDescent="0.25">
      <c r="A1300"/>
    </row>
    <row r="1301" spans="1:1" ht="15" customHeight="1" x14ac:dyDescent="0.25">
      <c r="A1301"/>
    </row>
    <row r="1302" spans="1:1" ht="15" customHeight="1" x14ac:dyDescent="0.25">
      <c r="A1302"/>
    </row>
    <row r="1303" spans="1:1" ht="15" customHeight="1" x14ac:dyDescent="0.25">
      <c r="A1303"/>
    </row>
    <row r="1304" spans="1:1" ht="15" customHeight="1" x14ac:dyDescent="0.25">
      <c r="A1304"/>
    </row>
    <row r="1305" spans="1:1" ht="15" customHeight="1" x14ac:dyDescent="0.25">
      <c r="A1305"/>
    </row>
    <row r="1306" spans="1:1" ht="15" customHeight="1" x14ac:dyDescent="0.25">
      <c r="A1306"/>
    </row>
    <row r="1307" spans="1:1" ht="15" customHeight="1" x14ac:dyDescent="0.25">
      <c r="A1307"/>
    </row>
    <row r="1308" spans="1:1" ht="15" customHeight="1" x14ac:dyDescent="0.25">
      <c r="A1308"/>
    </row>
    <row r="1309" spans="1:1" ht="15" customHeight="1" x14ac:dyDescent="0.25">
      <c r="A1309"/>
    </row>
    <row r="1310" spans="1:1" ht="15" customHeight="1" x14ac:dyDescent="0.25">
      <c r="A1310"/>
    </row>
    <row r="1311" spans="1:1" ht="15" customHeight="1" x14ac:dyDescent="0.25">
      <c r="A1311"/>
    </row>
    <row r="1312" spans="1:1" ht="15" customHeight="1" x14ac:dyDescent="0.25">
      <c r="A1312"/>
    </row>
    <row r="1313" spans="1:1" ht="15" customHeight="1" x14ac:dyDescent="0.25">
      <c r="A1313"/>
    </row>
    <row r="1314" spans="1:1" ht="15" customHeight="1" x14ac:dyDescent="0.25">
      <c r="A1314"/>
    </row>
    <row r="1315" spans="1:1" ht="15" customHeight="1" x14ac:dyDescent="0.25">
      <c r="A1315"/>
    </row>
    <row r="1316" spans="1:1" ht="15" customHeight="1" x14ac:dyDescent="0.25">
      <c r="A1316"/>
    </row>
    <row r="1317" spans="1:1" ht="15" customHeight="1" x14ac:dyDescent="0.25">
      <c r="A1317"/>
    </row>
    <row r="1318" spans="1:1" ht="15" customHeight="1" x14ac:dyDescent="0.25">
      <c r="A1318"/>
    </row>
    <row r="1319" spans="1:1" ht="15" customHeight="1" x14ac:dyDescent="0.25">
      <c r="A1319"/>
    </row>
    <row r="1320" spans="1:1" ht="15" customHeight="1" x14ac:dyDescent="0.25">
      <c r="A1320"/>
    </row>
    <row r="1321" spans="1:1" ht="15" customHeight="1" x14ac:dyDescent="0.25">
      <c r="A1321"/>
    </row>
    <row r="1322" spans="1:1" ht="15" customHeight="1" x14ac:dyDescent="0.25">
      <c r="A1322"/>
    </row>
    <row r="1323" spans="1:1" ht="15" customHeight="1" x14ac:dyDescent="0.25">
      <c r="A1323"/>
    </row>
    <row r="1324" spans="1:1" ht="15" customHeight="1" x14ac:dyDescent="0.25">
      <c r="A1324"/>
    </row>
    <row r="1325" spans="1:1" ht="15" customHeight="1" x14ac:dyDescent="0.25">
      <c r="A1325"/>
    </row>
    <row r="1326" spans="1:1" ht="15" customHeight="1" x14ac:dyDescent="0.25">
      <c r="A1326"/>
    </row>
    <row r="1327" spans="1:1" ht="15" customHeight="1" x14ac:dyDescent="0.25">
      <c r="A1327"/>
    </row>
    <row r="1328" spans="1:1" ht="15" customHeight="1" x14ac:dyDescent="0.25">
      <c r="A1328"/>
    </row>
    <row r="1329" spans="1:1" ht="15" customHeight="1" x14ac:dyDescent="0.25">
      <c r="A1329"/>
    </row>
    <row r="1330" spans="1:1" ht="15" customHeight="1" x14ac:dyDescent="0.25">
      <c r="A1330"/>
    </row>
    <row r="1331" spans="1:1" ht="15" customHeight="1" x14ac:dyDescent="0.25">
      <c r="A1331"/>
    </row>
    <row r="1332" spans="1:1" ht="15" customHeight="1" x14ac:dyDescent="0.25">
      <c r="A1332"/>
    </row>
    <row r="1333" spans="1:1" ht="15" customHeight="1" x14ac:dyDescent="0.25">
      <c r="A1333"/>
    </row>
    <row r="1334" spans="1:1" ht="15" customHeight="1" x14ac:dyDescent="0.25">
      <c r="A1334"/>
    </row>
    <row r="1335" spans="1:1" ht="15" customHeight="1" x14ac:dyDescent="0.25">
      <c r="A1335"/>
    </row>
    <row r="1336" spans="1:1" ht="15" customHeight="1" x14ac:dyDescent="0.25">
      <c r="A1336"/>
    </row>
    <row r="1337" spans="1:1" ht="15" customHeight="1" x14ac:dyDescent="0.25">
      <c r="A1337"/>
    </row>
    <row r="1338" spans="1:1" ht="15" customHeight="1" x14ac:dyDescent="0.25">
      <c r="A1338"/>
    </row>
    <row r="1339" spans="1:1" ht="15" customHeight="1" x14ac:dyDescent="0.25">
      <c r="A1339"/>
    </row>
    <row r="1340" spans="1:1" ht="15" customHeight="1" x14ac:dyDescent="0.25">
      <c r="A1340"/>
    </row>
    <row r="1341" spans="1:1" ht="15" customHeight="1" x14ac:dyDescent="0.25">
      <c r="A1341"/>
    </row>
    <row r="1342" spans="1:1" ht="15" customHeight="1" x14ac:dyDescent="0.25">
      <c r="A1342"/>
    </row>
    <row r="1343" spans="1:1" ht="15" customHeight="1" x14ac:dyDescent="0.25">
      <c r="A1343"/>
    </row>
    <row r="1344" spans="1:1" ht="15" customHeight="1" x14ac:dyDescent="0.25">
      <c r="A1344"/>
    </row>
    <row r="1345" spans="1:1" ht="15" customHeight="1" x14ac:dyDescent="0.25">
      <c r="A1345"/>
    </row>
    <row r="1346" spans="1:1" ht="15" customHeight="1" x14ac:dyDescent="0.25">
      <c r="A1346"/>
    </row>
    <row r="1347" spans="1:1" ht="15" customHeight="1" x14ac:dyDescent="0.25">
      <c r="A1347"/>
    </row>
    <row r="1348" spans="1:1" ht="15" customHeight="1" x14ac:dyDescent="0.25">
      <c r="A1348"/>
    </row>
    <row r="1349" spans="1:1" ht="15" customHeight="1" x14ac:dyDescent="0.25">
      <c r="A1349"/>
    </row>
    <row r="1350" spans="1:1" ht="15" customHeight="1" x14ac:dyDescent="0.25">
      <c r="A1350"/>
    </row>
    <row r="1351" spans="1:1" ht="15" customHeight="1" x14ac:dyDescent="0.25">
      <c r="A1351"/>
    </row>
    <row r="1352" spans="1:1" ht="15" customHeight="1" x14ac:dyDescent="0.25">
      <c r="A1352"/>
    </row>
    <row r="1353" spans="1:1" ht="15" customHeight="1" x14ac:dyDescent="0.25">
      <c r="A1353"/>
    </row>
    <row r="1354" spans="1:1" ht="15" customHeight="1" x14ac:dyDescent="0.25">
      <c r="A1354"/>
    </row>
    <row r="1355" spans="1:1" ht="15" customHeight="1" x14ac:dyDescent="0.25">
      <c r="A1355"/>
    </row>
    <row r="1356" spans="1:1" ht="15" customHeight="1" x14ac:dyDescent="0.25">
      <c r="A1356"/>
    </row>
    <row r="1357" spans="1:1" ht="15" customHeight="1" x14ac:dyDescent="0.25">
      <c r="A1357"/>
    </row>
    <row r="1358" spans="1:1" ht="15" customHeight="1" x14ac:dyDescent="0.25">
      <c r="A1358"/>
    </row>
    <row r="1359" spans="1:1" ht="15" customHeight="1" x14ac:dyDescent="0.25">
      <c r="A1359"/>
    </row>
    <row r="1360" spans="1:1" ht="15" customHeight="1" x14ac:dyDescent="0.25">
      <c r="A1360"/>
    </row>
    <row r="1361" spans="1:1" ht="15" customHeight="1" x14ac:dyDescent="0.25">
      <c r="A1361"/>
    </row>
    <row r="1362" spans="1:1" ht="15" customHeight="1" x14ac:dyDescent="0.25">
      <c r="A1362"/>
    </row>
    <row r="1363" spans="1:1" ht="15" customHeight="1" x14ac:dyDescent="0.25">
      <c r="A1363"/>
    </row>
    <row r="1364" spans="1:1" ht="15" customHeight="1" x14ac:dyDescent="0.25">
      <c r="A1364"/>
    </row>
    <row r="1365" spans="1:1" ht="15" customHeight="1" x14ac:dyDescent="0.25">
      <c r="A1365"/>
    </row>
    <row r="1366" spans="1:1" ht="15" customHeight="1" x14ac:dyDescent="0.25">
      <c r="A1366"/>
    </row>
    <row r="1367" spans="1:1" ht="15" customHeight="1" x14ac:dyDescent="0.25">
      <c r="A1367"/>
    </row>
    <row r="1368" spans="1:1" ht="15" customHeight="1" x14ac:dyDescent="0.25">
      <c r="A1368"/>
    </row>
    <row r="1369" spans="1:1" ht="15" customHeight="1" x14ac:dyDescent="0.25">
      <c r="A1369"/>
    </row>
    <row r="1370" spans="1:1" ht="15" customHeight="1" x14ac:dyDescent="0.25">
      <c r="A1370"/>
    </row>
    <row r="1371" spans="1:1" ht="15" customHeight="1" x14ac:dyDescent="0.25">
      <c r="A1371"/>
    </row>
    <row r="1372" spans="1:1" ht="15" customHeight="1" x14ac:dyDescent="0.25">
      <c r="A1372"/>
    </row>
    <row r="1373" spans="1:1" ht="15" customHeight="1" x14ac:dyDescent="0.25">
      <c r="A1373"/>
    </row>
    <row r="1374" spans="1:1" ht="15" customHeight="1" x14ac:dyDescent="0.25">
      <c r="A1374"/>
    </row>
    <row r="1375" spans="1:1" ht="15" customHeight="1" x14ac:dyDescent="0.25">
      <c r="A1375"/>
    </row>
    <row r="1376" spans="1:1" ht="15" customHeight="1" x14ac:dyDescent="0.25">
      <c r="A1376"/>
    </row>
    <row r="1377" spans="1:1" ht="15" customHeight="1" x14ac:dyDescent="0.25">
      <c r="A1377"/>
    </row>
    <row r="1378" spans="1:1" ht="15" customHeight="1" x14ac:dyDescent="0.25">
      <c r="A1378"/>
    </row>
    <row r="1379" spans="1:1" ht="15" customHeight="1" x14ac:dyDescent="0.25">
      <c r="A1379"/>
    </row>
    <row r="1380" spans="1:1" ht="15" customHeight="1" x14ac:dyDescent="0.25">
      <c r="A1380"/>
    </row>
    <row r="1381" spans="1:1" ht="15" customHeight="1" x14ac:dyDescent="0.25">
      <c r="A1381"/>
    </row>
    <row r="1382" spans="1:1" ht="15" customHeight="1" x14ac:dyDescent="0.25">
      <c r="A1382"/>
    </row>
    <row r="1383" spans="1:1" ht="15" customHeight="1" x14ac:dyDescent="0.25">
      <c r="A1383"/>
    </row>
    <row r="1384" spans="1:1" ht="15" customHeight="1" x14ac:dyDescent="0.25">
      <c r="A1384"/>
    </row>
    <row r="1385" spans="1:1" ht="15" customHeight="1" x14ac:dyDescent="0.25">
      <c r="A1385"/>
    </row>
    <row r="1386" spans="1:1" ht="15" customHeight="1" x14ac:dyDescent="0.25">
      <c r="A1386"/>
    </row>
    <row r="1387" spans="1:1" ht="15" customHeight="1" x14ac:dyDescent="0.25">
      <c r="A1387"/>
    </row>
    <row r="1388" spans="1:1" ht="15" customHeight="1" x14ac:dyDescent="0.25">
      <c r="A1388"/>
    </row>
    <row r="1389" spans="1:1" ht="15" customHeight="1" x14ac:dyDescent="0.25">
      <c r="A1389"/>
    </row>
    <row r="1390" spans="1:1" ht="15" customHeight="1" x14ac:dyDescent="0.25">
      <c r="A1390"/>
    </row>
    <row r="1391" spans="1:1" ht="15" customHeight="1" x14ac:dyDescent="0.25">
      <c r="A1391"/>
    </row>
    <row r="1392" spans="1:1" ht="15" customHeight="1" x14ac:dyDescent="0.25">
      <c r="A1392"/>
    </row>
    <row r="1393" spans="1:1" ht="15" customHeight="1" x14ac:dyDescent="0.25">
      <c r="A1393"/>
    </row>
    <row r="1394" spans="1:1" ht="15" customHeight="1" x14ac:dyDescent="0.25">
      <c r="A1394"/>
    </row>
    <row r="1395" spans="1:1" ht="15" customHeight="1" x14ac:dyDescent="0.25">
      <c r="A1395"/>
    </row>
    <row r="1396" spans="1:1" ht="15" customHeight="1" x14ac:dyDescent="0.25">
      <c r="A1396"/>
    </row>
    <row r="1397" spans="1:1" ht="15" customHeight="1" x14ac:dyDescent="0.25">
      <c r="A1397"/>
    </row>
    <row r="1398" spans="1:1" ht="15" customHeight="1" x14ac:dyDescent="0.25">
      <c r="A1398"/>
    </row>
    <row r="1399" spans="1:1" ht="15" customHeight="1" x14ac:dyDescent="0.25">
      <c r="A1399"/>
    </row>
    <row r="1400" spans="1:1" ht="15" customHeight="1" x14ac:dyDescent="0.25">
      <c r="A1400"/>
    </row>
    <row r="1401" spans="1:1" ht="15" customHeight="1" x14ac:dyDescent="0.25">
      <c r="A1401"/>
    </row>
    <row r="1402" spans="1:1" ht="15" customHeight="1" x14ac:dyDescent="0.25">
      <c r="A1402"/>
    </row>
    <row r="1403" spans="1:1" ht="15" customHeight="1" x14ac:dyDescent="0.25">
      <c r="A1403"/>
    </row>
    <row r="1404" spans="1:1" ht="15" customHeight="1" x14ac:dyDescent="0.25">
      <c r="A1404"/>
    </row>
    <row r="1405" spans="1:1" ht="15" customHeight="1" x14ac:dyDescent="0.25">
      <c r="A1405"/>
    </row>
    <row r="1406" spans="1:1" ht="15" customHeight="1" x14ac:dyDescent="0.25">
      <c r="A1406"/>
    </row>
    <row r="1407" spans="1:1" ht="15" customHeight="1" x14ac:dyDescent="0.25">
      <c r="A1407"/>
    </row>
    <row r="1408" spans="1:1" ht="15" customHeight="1" x14ac:dyDescent="0.25">
      <c r="A1408"/>
    </row>
    <row r="1409" spans="1:1" ht="15" customHeight="1" x14ac:dyDescent="0.25">
      <c r="A1409"/>
    </row>
    <row r="1410" spans="1:1" ht="15" customHeight="1" x14ac:dyDescent="0.25">
      <c r="A1410"/>
    </row>
    <row r="1411" spans="1:1" ht="15" customHeight="1" x14ac:dyDescent="0.25">
      <c r="A1411"/>
    </row>
    <row r="1412" spans="1:1" ht="15" customHeight="1" x14ac:dyDescent="0.25">
      <c r="A1412"/>
    </row>
    <row r="1413" spans="1:1" ht="15" customHeight="1" x14ac:dyDescent="0.25">
      <c r="A1413"/>
    </row>
    <row r="1414" spans="1:1" ht="15" customHeight="1" x14ac:dyDescent="0.25">
      <c r="A1414"/>
    </row>
    <row r="1415" spans="1:1" ht="15" customHeight="1" x14ac:dyDescent="0.25">
      <c r="A1415"/>
    </row>
    <row r="1416" spans="1:1" ht="15" customHeight="1" x14ac:dyDescent="0.25">
      <c r="A1416"/>
    </row>
    <row r="1417" spans="1:1" ht="15" customHeight="1" x14ac:dyDescent="0.25">
      <c r="A1417"/>
    </row>
    <row r="1418" spans="1:1" ht="15" customHeight="1" x14ac:dyDescent="0.25">
      <c r="A1418"/>
    </row>
    <row r="1419" spans="1:1" ht="15" customHeight="1" x14ac:dyDescent="0.25">
      <c r="A1419"/>
    </row>
    <row r="1420" spans="1:1" ht="15" customHeight="1" x14ac:dyDescent="0.25">
      <c r="A1420"/>
    </row>
    <row r="1421" spans="1:1" ht="15" customHeight="1" x14ac:dyDescent="0.25">
      <c r="A1421"/>
    </row>
    <row r="1422" spans="1:1" ht="15" customHeight="1" x14ac:dyDescent="0.25">
      <c r="A1422"/>
    </row>
    <row r="1423" spans="1:1" ht="15" customHeight="1" x14ac:dyDescent="0.25">
      <c r="A1423"/>
    </row>
    <row r="1424" spans="1:1" ht="15" customHeight="1" x14ac:dyDescent="0.25">
      <c r="A1424"/>
    </row>
    <row r="1425" spans="1:1" ht="15" customHeight="1" x14ac:dyDescent="0.25">
      <c r="A1425"/>
    </row>
    <row r="1426" spans="1:1" ht="15" customHeight="1" x14ac:dyDescent="0.25">
      <c r="A1426"/>
    </row>
    <row r="1427" spans="1:1" ht="15" customHeight="1" x14ac:dyDescent="0.25">
      <c r="A1427"/>
    </row>
    <row r="1428" spans="1:1" ht="15" customHeight="1" x14ac:dyDescent="0.25">
      <c r="A1428"/>
    </row>
    <row r="1429" spans="1:1" ht="15" customHeight="1" x14ac:dyDescent="0.25">
      <c r="A1429"/>
    </row>
    <row r="1430" spans="1:1" ht="15" customHeight="1" x14ac:dyDescent="0.25">
      <c r="A1430"/>
    </row>
    <row r="1431" spans="1:1" ht="15" customHeight="1" x14ac:dyDescent="0.25">
      <c r="A1431"/>
    </row>
    <row r="1432" spans="1:1" ht="15" customHeight="1" x14ac:dyDescent="0.25">
      <c r="A1432"/>
    </row>
    <row r="1433" spans="1:1" ht="15" customHeight="1" x14ac:dyDescent="0.25">
      <c r="A1433"/>
    </row>
    <row r="1434" spans="1:1" ht="15" customHeight="1" x14ac:dyDescent="0.25">
      <c r="A1434"/>
    </row>
    <row r="1435" spans="1:1" ht="15" customHeight="1" x14ac:dyDescent="0.25">
      <c r="A1435"/>
    </row>
    <row r="1436" spans="1:1" ht="15" customHeight="1" x14ac:dyDescent="0.25">
      <c r="A1436"/>
    </row>
    <row r="1437" spans="1:1" ht="15" customHeight="1" x14ac:dyDescent="0.25">
      <c r="A1437"/>
    </row>
    <row r="1438" spans="1:1" ht="15" customHeight="1" x14ac:dyDescent="0.25">
      <c r="A1438"/>
    </row>
    <row r="1439" spans="1:1" ht="15" customHeight="1" x14ac:dyDescent="0.25">
      <c r="A1439"/>
    </row>
    <row r="1440" spans="1:1" ht="15" customHeight="1" x14ac:dyDescent="0.25">
      <c r="A1440"/>
    </row>
    <row r="1441" spans="1:1" ht="15" customHeight="1" x14ac:dyDescent="0.25">
      <c r="A1441"/>
    </row>
    <row r="1442" spans="1:1" ht="15" customHeight="1" x14ac:dyDescent="0.25">
      <c r="A1442"/>
    </row>
    <row r="1443" spans="1:1" ht="15" customHeight="1" x14ac:dyDescent="0.25">
      <c r="A1443"/>
    </row>
    <row r="1444" spans="1:1" ht="15" customHeight="1" x14ac:dyDescent="0.25">
      <c r="A1444"/>
    </row>
    <row r="1445" spans="1:1" ht="15" customHeight="1" x14ac:dyDescent="0.25">
      <c r="A1445"/>
    </row>
    <row r="1446" spans="1:1" ht="15" customHeight="1" x14ac:dyDescent="0.25">
      <c r="A1446"/>
    </row>
    <row r="1447" spans="1:1" ht="15" customHeight="1" x14ac:dyDescent="0.25">
      <c r="A1447"/>
    </row>
    <row r="1448" spans="1:1" ht="15" customHeight="1" x14ac:dyDescent="0.25">
      <c r="A1448"/>
    </row>
    <row r="1449" spans="1:1" ht="15" customHeight="1" x14ac:dyDescent="0.25">
      <c r="A1449"/>
    </row>
    <row r="1450" spans="1:1" ht="15" customHeight="1" x14ac:dyDescent="0.25">
      <c r="A1450"/>
    </row>
    <row r="1451" spans="1:1" ht="15" customHeight="1" x14ac:dyDescent="0.25">
      <c r="A1451"/>
    </row>
    <row r="1452" spans="1:1" ht="15" customHeight="1" x14ac:dyDescent="0.25">
      <c r="A1452"/>
    </row>
    <row r="1453" spans="1:1" ht="15" customHeight="1" x14ac:dyDescent="0.25">
      <c r="A1453"/>
    </row>
    <row r="1454" spans="1:1" ht="15" customHeight="1" x14ac:dyDescent="0.25">
      <c r="A1454"/>
    </row>
    <row r="1455" spans="1:1" ht="15" customHeight="1" x14ac:dyDescent="0.25">
      <c r="A1455"/>
    </row>
    <row r="1456" spans="1:1" ht="15" customHeight="1" x14ac:dyDescent="0.25">
      <c r="A1456"/>
    </row>
    <row r="1457" spans="1:1" ht="15" customHeight="1" x14ac:dyDescent="0.25">
      <c r="A1457"/>
    </row>
    <row r="1458" spans="1:1" ht="15" customHeight="1" x14ac:dyDescent="0.25">
      <c r="A1458"/>
    </row>
    <row r="1459" spans="1:1" ht="15" customHeight="1" x14ac:dyDescent="0.25">
      <c r="A1459"/>
    </row>
    <row r="1460" spans="1:1" ht="15" customHeight="1" x14ac:dyDescent="0.25">
      <c r="A1460"/>
    </row>
    <row r="1461" spans="1:1" ht="15" customHeight="1" x14ac:dyDescent="0.25">
      <c r="A1461"/>
    </row>
    <row r="1462" spans="1:1" ht="15" customHeight="1" x14ac:dyDescent="0.25">
      <c r="A1462"/>
    </row>
    <row r="1463" spans="1:1" ht="15" customHeight="1" x14ac:dyDescent="0.25">
      <c r="A1463"/>
    </row>
    <row r="1464" spans="1:1" ht="15" customHeight="1" x14ac:dyDescent="0.25">
      <c r="A1464"/>
    </row>
    <row r="1465" spans="1:1" ht="15" customHeight="1" x14ac:dyDescent="0.25">
      <c r="A1465"/>
    </row>
    <row r="1466" spans="1:1" ht="15" customHeight="1" x14ac:dyDescent="0.25">
      <c r="A1466"/>
    </row>
    <row r="1467" spans="1:1" ht="15" customHeight="1" x14ac:dyDescent="0.25">
      <c r="A1467"/>
    </row>
    <row r="1468" spans="1:1" ht="15" customHeight="1" x14ac:dyDescent="0.25">
      <c r="A1468"/>
    </row>
    <row r="1469" spans="1:1" ht="15" customHeight="1" x14ac:dyDescent="0.25">
      <c r="A1469"/>
    </row>
    <row r="1470" spans="1:1" ht="15" customHeight="1" x14ac:dyDescent="0.25">
      <c r="A1470"/>
    </row>
    <row r="1471" spans="1:1" ht="15" customHeight="1" x14ac:dyDescent="0.25">
      <c r="A1471"/>
    </row>
    <row r="1472" spans="1:1" ht="15" customHeight="1" x14ac:dyDescent="0.25">
      <c r="A1472"/>
    </row>
    <row r="1473" spans="1:1" ht="15" customHeight="1" x14ac:dyDescent="0.25">
      <c r="A1473"/>
    </row>
    <row r="1474" spans="1:1" ht="15" customHeight="1" x14ac:dyDescent="0.25">
      <c r="A1474"/>
    </row>
    <row r="1475" spans="1:1" ht="15" customHeight="1" x14ac:dyDescent="0.25">
      <c r="A1475"/>
    </row>
    <row r="1476" spans="1:1" ht="15" customHeight="1" x14ac:dyDescent="0.25">
      <c r="A1476"/>
    </row>
    <row r="1477" spans="1:1" ht="15" customHeight="1" x14ac:dyDescent="0.25">
      <c r="A1477"/>
    </row>
    <row r="1478" spans="1:1" ht="15" customHeight="1" x14ac:dyDescent="0.25">
      <c r="A1478"/>
    </row>
    <row r="1479" spans="1:1" ht="15" customHeight="1" x14ac:dyDescent="0.25">
      <c r="A1479"/>
    </row>
    <row r="1480" spans="1:1" ht="15" customHeight="1" x14ac:dyDescent="0.25">
      <c r="A1480"/>
    </row>
    <row r="1481" spans="1:1" ht="15" customHeight="1" x14ac:dyDescent="0.25">
      <c r="A1481"/>
    </row>
    <row r="1482" spans="1:1" ht="15" customHeight="1" x14ac:dyDescent="0.25">
      <c r="A1482"/>
    </row>
    <row r="1483" spans="1:1" ht="15" customHeight="1" x14ac:dyDescent="0.25">
      <c r="A1483"/>
    </row>
    <row r="1484" spans="1:1" ht="15" customHeight="1" x14ac:dyDescent="0.25">
      <c r="A1484"/>
    </row>
    <row r="1485" spans="1:1" ht="15" customHeight="1" x14ac:dyDescent="0.25">
      <c r="A1485"/>
    </row>
    <row r="1486" spans="1:1" ht="15" customHeight="1" x14ac:dyDescent="0.25">
      <c r="A1486"/>
    </row>
    <row r="1487" spans="1:1" ht="15" customHeight="1" x14ac:dyDescent="0.25">
      <c r="A1487"/>
    </row>
    <row r="1488" spans="1:1" ht="15" customHeight="1" x14ac:dyDescent="0.25">
      <c r="A1488"/>
    </row>
    <row r="1489" spans="1:1" ht="15" customHeight="1" x14ac:dyDescent="0.25">
      <c r="A1489"/>
    </row>
    <row r="1490" spans="1:1" ht="15" customHeight="1" x14ac:dyDescent="0.25">
      <c r="A1490"/>
    </row>
    <row r="1491" spans="1:1" ht="15" customHeight="1" x14ac:dyDescent="0.25">
      <c r="A1491"/>
    </row>
    <row r="1492" spans="1:1" ht="15" customHeight="1" x14ac:dyDescent="0.25">
      <c r="A1492"/>
    </row>
    <row r="1493" spans="1:1" ht="15" customHeight="1" x14ac:dyDescent="0.25">
      <c r="A1493"/>
    </row>
    <row r="1494" spans="1:1" ht="15" customHeight="1" x14ac:dyDescent="0.25">
      <c r="A1494"/>
    </row>
    <row r="1495" spans="1:1" ht="15" customHeight="1" x14ac:dyDescent="0.25">
      <c r="A1495"/>
    </row>
    <row r="1496" spans="1:1" ht="15" customHeight="1" x14ac:dyDescent="0.25">
      <c r="A1496"/>
    </row>
    <row r="1497" spans="1:1" ht="15" customHeight="1" x14ac:dyDescent="0.25">
      <c r="A1497"/>
    </row>
    <row r="1498" spans="1:1" ht="15" customHeight="1" x14ac:dyDescent="0.25">
      <c r="A1498"/>
    </row>
    <row r="1499" spans="1:1" ht="15" customHeight="1" x14ac:dyDescent="0.25">
      <c r="A1499"/>
    </row>
    <row r="1500" spans="1:1" ht="15" customHeight="1" x14ac:dyDescent="0.25">
      <c r="A1500"/>
    </row>
    <row r="1501" spans="1:1" ht="15" customHeight="1" x14ac:dyDescent="0.25">
      <c r="A1501"/>
    </row>
    <row r="1502" spans="1:1" ht="15" customHeight="1" x14ac:dyDescent="0.25">
      <c r="A1502"/>
    </row>
    <row r="1503" spans="1:1" ht="15" customHeight="1" x14ac:dyDescent="0.25">
      <c r="A1503"/>
    </row>
    <row r="1504" spans="1:1" ht="15" customHeight="1" x14ac:dyDescent="0.25">
      <c r="A1504"/>
    </row>
    <row r="1505" spans="1:1" ht="15" customHeight="1" x14ac:dyDescent="0.25">
      <c r="A1505"/>
    </row>
    <row r="1506" spans="1:1" ht="15" customHeight="1" x14ac:dyDescent="0.25">
      <c r="A1506"/>
    </row>
    <row r="1507" spans="1:1" ht="15" customHeight="1" x14ac:dyDescent="0.25">
      <c r="A1507"/>
    </row>
    <row r="1508" spans="1:1" ht="15" customHeight="1" x14ac:dyDescent="0.25">
      <c r="A1508"/>
    </row>
    <row r="1509" spans="1:1" ht="15" customHeight="1" x14ac:dyDescent="0.25">
      <c r="A1509"/>
    </row>
    <row r="1510" spans="1:1" ht="15" customHeight="1" x14ac:dyDescent="0.25">
      <c r="A1510"/>
    </row>
    <row r="1511" spans="1:1" ht="15" customHeight="1" x14ac:dyDescent="0.25">
      <c r="A1511"/>
    </row>
    <row r="1512" spans="1:1" ht="15" customHeight="1" x14ac:dyDescent="0.25">
      <c r="A1512"/>
    </row>
    <row r="1513" spans="1:1" ht="15" customHeight="1" x14ac:dyDescent="0.25">
      <c r="A1513"/>
    </row>
    <row r="1514" spans="1:1" ht="15" customHeight="1" x14ac:dyDescent="0.25">
      <c r="A1514"/>
    </row>
    <row r="1515" spans="1:1" ht="15" customHeight="1" x14ac:dyDescent="0.25">
      <c r="A1515"/>
    </row>
    <row r="1516" spans="1:1" ht="15" customHeight="1" x14ac:dyDescent="0.25">
      <c r="A1516"/>
    </row>
    <row r="1517" spans="1:1" ht="15" customHeight="1" x14ac:dyDescent="0.25">
      <c r="A1517"/>
    </row>
    <row r="1518" spans="1:1" ht="15" customHeight="1" x14ac:dyDescent="0.25">
      <c r="A1518"/>
    </row>
    <row r="1519" spans="1:1" ht="15" customHeight="1" x14ac:dyDescent="0.25">
      <c r="A1519"/>
    </row>
    <row r="1520" spans="1:1" ht="15" customHeight="1" x14ac:dyDescent="0.25">
      <c r="A1520"/>
    </row>
    <row r="1521" spans="1:1" ht="15" customHeight="1" x14ac:dyDescent="0.25">
      <c r="A1521"/>
    </row>
    <row r="1522" spans="1:1" ht="15" customHeight="1" x14ac:dyDescent="0.25">
      <c r="A1522"/>
    </row>
    <row r="1523" spans="1:1" ht="15" customHeight="1" x14ac:dyDescent="0.25">
      <c r="A1523"/>
    </row>
    <row r="1524" spans="1:1" ht="15" customHeight="1" x14ac:dyDescent="0.25">
      <c r="A1524"/>
    </row>
    <row r="1525" spans="1:1" ht="15" customHeight="1" x14ac:dyDescent="0.25">
      <c r="A1525"/>
    </row>
    <row r="1526" spans="1:1" ht="15" customHeight="1" x14ac:dyDescent="0.25">
      <c r="A1526"/>
    </row>
    <row r="1527" spans="1:1" ht="15" customHeight="1" x14ac:dyDescent="0.25">
      <c r="A1527"/>
    </row>
    <row r="1528" spans="1:1" ht="15" customHeight="1" x14ac:dyDescent="0.25">
      <c r="A1528"/>
    </row>
    <row r="1529" spans="1:1" ht="15" customHeight="1" x14ac:dyDescent="0.25">
      <c r="A1529"/>
    </row>
    <row r="1530" spans="1:1" ht="15" customHeight="1" x14ac:dyDescent="0.25">
      <c r="A1530"/>
    </row>
    <row r="1531" spans="1:1" ht="15" customHeight="1" x14ac:dyDescent="0.25">
      <c r="A1531"/>
    </row>
    <row r="1532" spans="1:1" ht="15" customHeight="1" x14ac:dyDescent="0.25">
      <c r="A1532"/>
    </row>
    <row r="1533" spans="1:1" ht="15" customHeight="1" x14ac:dyDescent="0.25">
      <c r="A1533"/>
    </row>
    <row r="1534" spans="1:1" ht="15" customHeight="1" x14ac:dyDescent="0.25">
      <c r="A1534"/>
    </row>
    <row r="1535" spans="1:1" ht="15" customHeight="1" x14ac:dyDescent="0.25">
      <c r="A1535"/>
    </row>
    <row r="1536" spans="1:1" ht="15" customHeight="1" x14ac:dyDescent="0.25">
      <c r="A1536"/>
    </row>
    <row r="1537" spans="1:1" ht="15" customHeight="1" x14ac:dyDescent="0.25">
      <c r="A1537"/>
    </row>
    <row r="1538" spans="1:1" ht="15" customHeight="1" x14ac:dyDescent="0.25">
      <c r="A1538"/>
    </row>
    <row r="1539" spans="1:1" ht="15" customHeight="1" x14ac:dyDescent="0.25">
      <c r="A1539"/>
    </row>
    <row r="1540" spans="1:1" ht="15" customHeight="1" x14ac:dyDescent="0.25">
      <c r="A1540"/>
    </row>
    <row r="1541" spans="1:1" ht="15" customHeight="1" x14ac:dyDescent="0.25">
      <c r="A1541"/>
    </row>
    <row r="1542" spans="1:1" ht="15" customHeight="1" x14ac:dyDescent="0.25">
      <c r="A1542"/>
    </row>
    <row r="1543" spans="1:1" ht="15" customHeight="1" x14ac:dyDescent="0.25">
      <c r="A1543"/>
    </row>
    <row r="1544" spans="1:1" ht="15" customHeight="1" x14ac:dyDescent="0.25">
      <c r="A1544"/>
    </row>
    <row r="1545" spans="1:1" ht="15" customHeight="1" x14ac:dyDescent="0.25">
      <c r="A1545"/>
    </row>
    <row r="1546" spans="1:1" ht="15" customHeight="1" x14ac:dyDescent="0.25">
      <c r="A1546"/>
    </row>
    <row r="1547" spans="1:1" ht="15" customHeight="1" x14ac:dyDescent="0.25">
      <c r="A1547"/>
    </row>
    <row r="1548" spans="1:1" ht="15" customHeight="1" x14ac:dyDescent="0.25">
      <c r="A1548"/>
    </row>
    <row r="1549" spans="1:1" ht="15" customHeight="1" x14ac:dyDescent="0.25">
      <c r="A1549"/>
    </row>
    <row r="1550" spans="1:1" ht="15" customHeight="1" x14ac:dyDescent="0.25">
      <c r="A1550"/>
    </row>
    <row r="1551" spans="1:1" ht="15" customHeight="1" x14ac:dyDescent="0.25">
      <c r="A1551"/>
    </row>
    <row r="1552" spans="1:1" ht="15" customHeight="1" x14ac:dyDescent="0.25">
      <c r="A1552"/>
    </row>
    <row r="1553" spans="1:1" ht="15" customHeight="1" x14ac:dyDescent="0.25">
      <c r="A1553"/>
    </row>
    <row r="1554" spans="1:1" ht="15" customHeight="1" x14ac:dyDescent="0.25">
      <c r="A1554"/>
    </row>
    <row r="1555" spans="1:1" ht="15" customHeight="1" x14ac:dyDescent="0.25">
      <c r="A1555"/>
    </row>
    <row r="1556" spans="1:1" ht="15" customHeight="1" x14ac:dyDescent="0.25">
      <c r="A1556"/>
    </row>
    <row r="1557" spans="1:1" ht="15" customHeight="1" x14ac:dyDescent="0.25">
      <c r="A1557"/>
    </row>
    <row r="1558" spans="1:1" ht="15" customHeight="1" x14ac:dyDescent="0.25">
      <c r="A1558"/>
    </row>
    <row r="1559" spans="1:1" ht="15" customHeight="1" x14ac:dyDescent="0.25">
      <c r="A1559"/>
    </row>
    <row r="1560" spans="1:1" ht="15" customHeight="1" x14ac:dyDescent="0.25">
      <c r="A1560"/>
    </row>
    <row r="1561" spans="1:1" ht="15" customHeight="1" x14ac:dyDescent="0.25">
      <c r="A1561"/>
    </row>
    <row r="1562" spans="1:1" ht="15" customHeight="1" x14ac:dyDescent="0.25">
      <c r="A1562"/>
    </row>
    <row r="1563" spans="1:1" ht="15" customHeight="1" x14ac:dyDescent="0.25">
      <c r="A1563"/>
    </row>
    <row r="1564" spans="1:1" ht="15" customHeight="1" x14ac:dyDescent="0.25">
      <c r="A1564"/>
    </row>
    <row r="1565" spans="1:1" ht="15" customHeight="1" x14ac:dyDescent="0.25">
      <c r="A1565"/>
    </row>
    <row r="1566" spans="1:1" ht="15" customHeight="1" x14ac:dyDescent="0.25">
      <c r="A1566"/>
    </row>
    <row r="1567" spans="1:1" ht="15" customHeight="1" x14ac:dyDescent="0.25">
      <c r="A1567"/>
    </row>
    <row r="1568" spans="1:1" ht="15" customHeight="1" x14ac:dyDescent="0.25">
      <c r="A1568"/>
    </row>
    <row r="1569" spans="1:1" ht="15" customHeight="1" x14ac:dyDescent="0.25">
      <c r="A1569"/>
    </row>
    <row r="1570" spans="1:1" ht="15" customHeight="1" x14ac:dyDescent="0.25">
      <c r="A1570"/>
    </row>
    <row r="1571" spans="1:1" ht="15" customHeight="1" x14ac:dyDescent="0.25">
      <c r="A1571"/>
    </row>
    <row r="1572" spans="1:1" ht="15" customHeight="1" x14ac:dyDescent="0.25">
      <c r="A1572"/>
    </row>
    <row r="1573" spans="1:1" ht="15" customHeight="1" x14ac:dyDescent="0.25">
      <c r="A1573"/>
    </row>
    <row r="1574" spans="1:1" ht="15" customHeight="1" x14ac:dyDescent="0.25">
      <c r="A1574"/>
    </row>
    <row r="1575" spans="1:1" ht="15" customHeight="1" x14ac:dyDescent="0.25">
      <c r="A1575"/>
    </row>
    <row r="1576" spans="1:1" ht="15" customHeight="1" x14ac:dyDescent="0.25">
      <c r="A1576"/>
    </row>
    <row r="1577" spans="1:1" ht="15" customHeight="1" x14ac:dyDescent="0.25">
      <c r="A1577"/>
    </row>
    <row r="1578" spans="1:1" ht="15" customHeight="1" x14ac:dyDescent="0.25">
      <c r="A1578"/>
    </row>
    <row r="1579" spans="1:1" ht="15" customHeight="1" x14ac:dyDescent="0.25">
      <c r="A1579"/>
    </row>
    <row r="1580" spans="1:1" ht="15" customHeight="1" x14ac:dyDescent="0.25">
      <c r="A1580"/>
    </row>
    <row r="1581" spans="1:1" ht="15" customHeight="1" x14ac:dyDescent="0.25">
      <c r="A1581"/>
    </row>
    <row r="1582" spans="1:1" ht="15" customHeight="1" x14ac:dyDescent="0.25">
      <c r="A1582"/>
    </row>
    <row r="1583" spans="1:1" ht="15" customHeight="1" x14ac:dyDescent="0.25">
      <c r="A1583"/>
    </row>
    <row r="1584" spans="1:1" ht="15" customHeight="1" x14ac:dyDescent="0.25">
      <c r="A1584"/>
    </row>
    <row r="1585" spans="1:1" ht="15" customHeight="1" x14ac:dyDescent="0.25">
      <c r="A1585"/>
    </row>
    <row r="1586" spans="1:1" ht="15" customHeight="1" x14ac:dyDescent="0.25">
      <c r="A1586"/>
    </row>
    <row r="1587" spans="1:1" ht="15" customHeight="1" x14ac:dyDescent="0.25">
      <c r="A1587"/>
    </row>
    <row r="1588" spans="1:1" ht="15" customHeight="1" x14ac:dyDescent="0.25">
      <c r="A1588"/>
    </row>
    <row r="1589" spans="1:1" ht="15" customHeight="1" x14ac:dyDescent="0.25">
      <c r="A1589"/>
    </row>
    <row r="1590" spans="1:1" ht="15" customHeight="1" x14ac:dyDescent="0.25">
      <c r="A1590"/>
    </row>
    <row r="1591" spans="1:1" ht="15" customHeight="1" x14ac:dyDescent="0.25">
      <c r="A1591"/>
    </row>
    <row r="1592" spans="1:1" ht="15" customHeight="1" x14ac:dyDescent="0.25">
      <c r="A1592"/>
    </row>
    <row r="1593" spans="1:1" ht="15" customHeight="1" x14ac:dyDescent="0.25">
      <c r="A1593"/>
    </row>
    <row r="1594" spans="1:1" ht="15" customHeight="1" x14ac:dyDescent="0.25">
      <c r="A1594"/>
    </row>
    <row r="1595" spans="1:1" ht="15" customHeight="1" x14ac:dyDescent="0.25">
      <c r="A1595"/>
    </row>
    <row r="1596" spans="1:1" ht="15" customHeight="1" x14ac:dyDescent="0.25">
      <c r="A1596"/>
    </row>
    <row r="1597" spans="1:1" ht="15" customHeight="1" x14ac:dyDescent="0.25">
      <c r="A1597"/>
    </row>
    <row r="1598" spans="1:1" ht="15" customHeight="1" x14ac:dyDescent="0.25">
      <c r="A1598"/>
    </row>
    <row r="1599" spans="1:1" ht="15" customHeight="1" x14ac:dyDescent="0.25">
      <c r="A1599"/>
    </row>
    <row r="1600" spans="1:1" ht="15" customHeight="1" x14ac:dyDescent="0.25">
      <c r="A1600"/>
    </row>
    <row r="1601" spans="1:1" ht="15" customHeight="1" x14ac:dyDescent="0.25">
      <c r="A1601"/>
    </row>
    <row r="1602" spans="1:1" ht="15" customHeight="1" x14ac:dyDescent="0.25">
      <c r="A1602"/>
    </row>
    <row r="1603" spans="1:1" ht="15" customHeight="1" x14ac:dyDescent="0.25">
      <c r="A1603"/>
    </row>
    <row r="1604" spans="1:1" ht="15" customHeight="1" x14ac:dyDescent="0.25">
      <c r="A1604"/>
    </row>
    <row r="1605" spans="1:1" ht="15" customHeight="1" x14ac:dyDescent="0.25">
      <c r="A1605"/>
    </row>
    <row r="1606" spans="1:1" ht="15" customHeight="1" x14ac:dyDescent="0.25">
      <c r="A1606"/>
    </row>
    <row r="1607" spans="1:1" ht="15" customHeight="1" x14ac:dyDescent="0.25">
      <c r="A1607"/>
    </row>
    <row r="1608" spans="1:1" ht="15" customHeight="1" x14ac:dyDescent="0.25">
      <c r="A1608"/>
    </row>
    <row r="1609" spans="1:1" ht="15" customHeight="1" x14ac:dyDescent="0.25">
      <c r="A1609"/>
    </row>
    <row r="1610" spans="1:1" ht="15" customHeight="1" x14ac:dyDescent="0.25">
      <c r="A1610"/>
    </row>
    <row r="1611" spans="1:1" ht="15" customHeight="1" x14ac:dyDescent="0.25">
      <c r="A1611"/>
    </row>
    <row r="1612" spans="1:1" ht="15" customHeight="1" x14ac:dyDescent="0.25">
      <c r="A1612"/>
    </row>
    <row r="1613" spans="1:1" ht="15" customHeight="1" x14ac:dyDescent="0.25">
      <c r="A1613"/>
    </row>
    <row r="1614" spans="1:1" ht="15" customHeight="1" x14ac:dyDescent="0.25">
      <c r="A1614"/>
    </row>
    <row r="1615" spans="1:1" ht="15" customHeight="1" x14ac:dyDescent="0.25">
      <c r="A1615"/>
    </row>
    <row r="1616" spans="1:1" ht="15" customHeight="1" x14ac:dyDescent="0.25">
      <c r="A1616"/>
    </row>
    <row r="1617" spans="1:1" ht="15" customHeight="1" x14ac:dyDescent="0.25">
      <c r="A1617"/>
    </row>
    <row r="1618" spans="1:1" ht="15" customHeight="1" x14ac:dyDescent="0.25">
      <c r="A1618"/>
    </row>
    <row r="1619" spans="1:1" ht="15" customHeight="1" x14ac:dyDescent="0.25">
      <c r="A1619"/>
    </row>
    <row r="1620" spans="1:1" ht="15" customHeight="1" x14ac:dyDescent="0.25">
      <c r="A1620"/>
    </row>
    <row r="1621" spans="1:1" ht="15" customHeight="1" x14ac:dyDescent="0.25">
      <c r="A1621"/>
    </row>
    <row r="1622" spans="1:1" ht="15" customHeight="1" x14ac:dyDescent="0.25">
      <c r="A1622"/>
    </row>
    <row r="1623" spans="1:1" ht="15" customHeight="1" x14ac:dyDescent="0.25">
      <c r="A1623"/>
    </row>
    <row r="1624" spans="1:1" ht="15" customHeight="1" x14ac:dyDescent="0.25">
      <c r="A1624"/>
    </row>
    <row r="1625" spans="1:1" ht="15" customHeight="1" x14ac:dyDescent="0.25">
      <c r="A1625"/>
    </row>
    <row r="1626" spans="1:1" ht="15" customHeight="1" x14ac:dyDescent="0.25">
      <c r="A1626"/>
    </row>
    <row r="1627" spans="1:1" ht="15" customHeight="1" x14ac:dyDescent="0.25">
      <c r="A1627"/>
    </row>
    <row r="1628" spans="1:1" ht="15" customHeight="1" x14ac:dyDescent="0.25">
      <c r="A1628"/>
    </row>
    <row r="1629" spans="1:1" ht="15" customHeight="1" x14ac:dyDescent="0.25">
      <c r="A1629"/>
    </row>
    <row r="1630" spans="1:1" ht="15" customHeight="1" x14ac:dyDescent="0.25">
      <c r="A1630"/>
    </row>
    <row r="1631" spans="1:1" ht="15" customHeight="1" x14ac:dyDescent="0.25">
      <c r="A1631"/>
    </row>
    <row r="1632" spans="1:1" ht="15" customHeight="1" x14ac:dyDescent="0.25">
      <c r="A1632"/>
    </row>
    <row r="1633" spans="1:1" ht="15" customHeight="1" x14ac:dyDescent="0.25">
      <c r="A1633"/>
    </row>
    <row r="1634" spans="1:1" ht="15" customHeight="1" x14ac:dyDescent="0.25">
      <c r="A1634"/>
    </row>
    <row r="1635" spans="1:1" ht="15" customHeight="1" x14ac:dyDescent="0.25">
      <c r="A1635"/>
    </row>
    <row r="1636" spans="1:1" ht="15" customHeight="1" x14ac:dyDescent="0.25">
      <c r="A1636"/>
    </row>
    <row r="1637" spans="1:1" ht="15" customHeight="1" x14ac:dyDescent="0.25">
      <c r="A1637"/>
    </row>
    <row r="1638" spans="1:1" ht="15" customHeight="1" x14ac:dyDescent="0.25">
      <c r="A1638"/>
    </row>
    <row r="1639" spans="1:1" ht="15" customHeight="1" x14ac:dyDescent="0.25">
      <c r="A1639"/>
    </row>
    <row r="1640" spans="1:1" ht="15" customHeight="1" x14ac:dyDescent="0.25">
      <c r="A1640"/>
    </row>
    <row r="1641" spans="1:1" ht="15" customHeight="1" x14ac:dyDescent="0.25">
      <c r="A1641"/>
    </row>
    <row r="1642" spans="1:1" ht="15" customHeight="1" x14ac:dyDescent="0.25">
      <c r="A1642"/>
    </row>
    <row r="1643" spans="1:1" ht="15" customHeight="1" x14ac:dyDescent="0.25">
      <c r="A1643"/>
    </row>
    <row r="1644" spans="1:1" ht="15" customHeight="1" x14ac:dyDescent="0.25">
      <c r="A1644"/>
    </row>
    <row r="1645" spans="1:1" ht="15" customHeight="1" x14ac:dyDescent="0.25">
      <c r="A1645"/>
    </row>
    <row r="1646" spans="1:1" ht="15" customHeight="1" x14ac:dyDescent="0.25">
      <c r="A1646"/>
    </row>
    <row r="1647" spans="1:1" ht="15" customHeight="1" x14ac:dyDescent="0.25">
      <c r="A1647"/>
    </row>
    <row r="1648" spans="1:1" ht="15" customHeight="1" x14ac:dyDescent="0.25">
      <c r="A1648"/>
    </row>
    <row r="1649" spans="1:1" ht="15" customHeight="1" x14ac:dyDescent="0.25">
      <c r="A1649"/>
    </row>
    <row r="1650" spans="1:1" ht="15" customHeight="1" x14ac:dyDescent="0.25">
      <c r="A1650"/>
    </row>
    <row r="1651" spans="1:1" ht="15" customHeight="1" x14ac:dyDescent="0.25">
      <c r="A1651"/>
    </row>
    <row r="1652" spans="1:1" ht="15" customHeight="1" x14ac:dyDescent="0.25">
      <c r="A1652"/>
    </row>
    <row r="1653" spans="1:1" ht="15" customHeight="1" x14ac:dyDescent="0.25">
      <c r="A1653"/>
    </row>
    <row r="1654" spans="1:1" ht="15" customHeight="1" x14ac:dyDescent="0.25">
      <c r="A1654"/>
    </row>
    <row r="1655" spans="1:1" ht="15" customHeight="1" x14ac:dyDescent="0.25">
      <c r="A1655"/>
    </row>
    <row r="1656" spans="1:1" ht="15" customHeight="1" x14ac:dyDescent="0.25">
      <c r="A1656"/>
    </row>
    <row r="1657" spans="1:1" ht="15" customHeight="1" x14ac:dyDescent="0.25">
      <c r="A1657"/>
    </row>
    <row r="1658" spans="1:1" ht="15" customHeight="1" x14ac:dyDescent="0.25">
      <c r="A1658"/>
    </row>
    <row r="1659" spans="1:1" ht="15" customHeight="1" x14ac:dyDescent="0.25">
      <c r="A1659"/>
    </row>
    <row r="1660" spans="1:1" ht="15" customHeight="1" x14ac:dyDescent="0.25">
      <c r="A1660"/>
    </row>
    <row r="1661" spans="1:1" ht="15" customHeight="1" x14ac:dyDescent="0.25">
      <c r="A1661"/>
    </row>
    <row r="1662" spans="1:1" ht="15" customHeight="1" x14ac:dyDescent="0.25">
      <c r="A1662"/>
    </row>
    <row r="1663" spans="1:1" ht="15" customHeight="1" x14ac:dyDescent="0.25">
      <c r="A1663"/>
    </row>
    <row r="1664" spans="1:1" ht="15" customHeight="1" x14ac:dyDescent="0.25">
      <c r="A1664"/>
    </row>
    <row r="1665" spans="1:1" ht="15" customHeight="1" x14ac:dyDescent="0.25">
      <c r="A1665"/>
    </row>
    <row r="1666" spans="1:1" ht="15" customHeight="1" x14ac:dyDescent="0.25">
      <c r="A1666"/>
    </row>
    <row r="1667" spans="1:1" ht="15" customHeight="1" x14ac:dyDescent="0.25">
      <c r="A1667"/>
    </row>
    <row r="1668" spans="1:1" ht="15" customHeight="1" x14ac:dyDescent="0.25">
      <c r="A1668"/>
    </row>
    <row r="1669" spans="1:1" ht="15" customHeight="1" x14ac:dyDescent="0.25">
      <c r="A1669"/>
    </row>
    <row r="1670" spans="1:1" ht="15" customHeight="1" x14ac:dyDescent="0.25">
      <c r="A1670"/>
    </row>
    <row r="1671" spans="1:1" ht="15" customHeight="1" x14ac:dyDescent="0.25">
      <c r="A1671"/>
    </row>
    <row r="1672" spans="1:1" ht="15" customHeight="1" x14ac:dyDescent="0.25">
      <c r="A1672"/>
    </row>
    <row r="1673" spans="1:1" ht="15" customHeight="1" x14ac:dyDescent="0.25">
      <c r="A1673"/>
    </row>
    <row r="1674" spans="1:1" ht="15" customHeight="1" x14ac:dyDescent="0.25">
      <c r="A1674"/>
    </row>
    <row r="1675" spans="1:1" ht="15" customHeight="1" x14ac:dyDescent="0.25">
      <c r="A1675"/>
    </row>
    <row r="1676" spans="1:1" ht="15" customHeight="1" x14ac:dyDescent="0.25">
      <c r="A1676"/>
    </row>
    <row r="1677" spans="1:1" ht="15" customHeight="1" x14ac:dyDescent="0.25">
      <c r="A1677"/>
    </row>
    <row r="1678" spans="1:1" ht="15" customHeight="1" x14ac:dyDescent="0.25">
      <c r="A1678"/>
    </row>
    <row r="1679" spans="1:1" ht="15" customHeight="1" x14ac:dyDescent="0.25">
      <c r="A1679"/>
    </row>
    <row r="1680" spans="1:1" ht="15" customHeight="1" x14ac:dyDescent="0.25">
      <c r="A1680"/>
    </row>
    <row r="1681" spans="1:1" ht="15" customHeight="1" x14ac:dyDescent="0.25">
      <c r="A1681"/>
    </row>
    <row r="1682" spans="1:1" ht="15" customHeight="1" x14ac:dyDescent="0.25">
      <c r="A1682"/>
    </row>
    <row r="1683" spans="1:1" ht="15" customHeight="1" x14ac:dyDescent="0.25">
      <c r="A1683"/>
    </row>
    <row r="1684" spans="1:1" ht="15" customHeight="1" x14ac:dyDescent="0.25">
      <c r="A1684"/>
    </row>
    <row r="1685" spans="1:1" ht="15" customHeight="1" x14ac:dyDescent="0.25">
      <c r="A1685"/>
    </row>
    <row r="1686" spans="1:1" ht="15" customHeight="1" x14ac:dyDescent="0.25">
      <c r="A1686"/>
    </row>
    <row r="1687" spans="1:1" ht="15" customHeight="1" x14ac:dyDescent="0.25">
      <c r="A1687"/>
    </row>
    <row r="1688" spans="1:1" ht="15" customHeight="1" x14ac:dyDescent="0.25">
      <c r="A1688"/>
    </row>
    <row r="1689" spans="1:1" ht="15" customHeight="1" x14ac:dyDescent="0.25">
      <c r="A1689"/>
    </row>
    <row r="1690" spans="1:1" ht="15" customHeight="1" x14ac:dyDescent="0.25">
      <c r="A1690"/>
    </row>
    <row r="1691" spans="1:1" ht="15" customHeight="1" x14ac:dyDescent="0.25">
      <c r="A1691"/>
    </row>
    <row r="1692" spans="1:1" ht="15" customHeight="1" x14ac:dyDescent="0.25">
      <c r="A1692"/>
    </row>
    <row r="1693" spans="1:1" ht="15" customHeight="1" x14ac:dyDescent="0.25">
      <c r="A1693"/>
    </row>
    <row r="1694" spans="1:1" ht="15" customHeight="1" x14ac:dyDescent="0.25">
      <c r="A1694"/>
    </row>
    <row r="1695" spans="1:1" ht="15" customHeight="1" x14ac:dyDescent="0.25">
      <c r="A1695"/>
    </row>
    <row r="1696" spans="1:1" ht="15" customHeight="1" x14ac:dyDescent="0.25">
      <c r="A1696"/>
    </row>
    <row r="1697" spans="1:1" ht="15" customHeight="1" x14ac:dyDescent="0.25">
      <c r="A1697"/>
    </row>
    <row r="1698" spans="1:1" ht="15" customHeight="1" x14ac:dyDescent="0.25">
      <c r="A1698"/>
    </row>
    <row r="1699" spans="1:1" ht="15" customHeight="1" x14ac:dyDescent="0.25">
      <c r="A1699"/>
    </row>
    <row r="1700" spans="1:1" ht="15" customHeight="1" x14ac:dyDescent="0.25">
      <c r="A1700"/>
    </row>
    <row r="1701" spans="1:1" ht="15" customHeight="1" x14ac:dyDescent="0.25">
      <c r="A1701"/>
    </row>
    <row r="1702" spans="1:1" ht="15" customHeight="1" x14ac:dyDescent="0.25">
      <c r="A1702"/>
    </row>
    <row r="1703" spans="1:1" ht="15" customHeight="1" x14ac:dyDescent="0.25">
      <c r="A1703"/>
    </row>
    <row r="1704" spans="1:1" ht="15" customHeight="1" x14ac:dyDescent="0.25">
      <c r="A1704"/>
    </row>
    <row r="1705" spans="1:1" ht="15" customHeight="1" x14ac:dyDescent="0.25">
      <c r="A1705"/>
    </row>
    <row r="1706" spans="1:1" ht="15" customHeight="1" x14ac:dyDescent="0.25">
      <c r="A1706"/>
    </row>
    <row r="1707" spans="1:1" ht="15" customHeight="1" x14ac:dyDescent="0.25">
      <c r="A1707"/>
    </row>
    <row r="1708" spans="1:1" ht="15" customHeight="1" x14ac:dyDescent="0.25">
      <c r="A1708"/>
    </row>
    <row r="1709" spans="1:1" ht="15" customHeight="1" x14ac:dyDescent="0.25">
      <c r="A1709"/>
    </row>
    <row r="1710" spans="1:1" ht="15" customHeight="1" x14ac:dyDescent="0.25">
      <c r="A1710"/>
    </row>
    <row r="1711" spans="1:1" ht="15" customHeight="1" x14ac:dyDescent="0.25">
      <c r="A1711"/>
    </row>
    <row r="1712" spans="1:1" ht="15" customHeight="1" x14ac:dyDescent="0.25">
      <c r="A1712"/>
    </row>
    <row r="1713" spans="1:1" ht="15" customHeight="1" x14ac:dyDescent="0.25">
      <c r="A1713"/>
    </row>
    <row r="1714" spans="1:1" ht="15" customHeight="1" x14ac:dyDescent="0.25">
      <c r="A1714"/>
    </row>
    <row r="1715" spans="1:1" ht="15" customHeight="1" x14ac:dyDescent="0.25">
      <c r="A1715"/>
    </row>
    <row r="1716" spans="1:1" ht="15" customHeight="1" x14ac:dyDescent="0.25">
      <c r="A1716"/>
    </row>
    <row r="1717" spans="1:1" ht="15" customHeight="1" x14ac:dyDescent="0.25">
      <c r="A1717"/>
    </row>
    <row r="1718" spans="1:1" ht="15" customHeight="1" x14ac:dyDescent="0.25">
      <c r="A1718"/>
    </row>
    <row r="1719" spans="1:1" ht="15" customHeight="1" x14ac:dyDescent="0.25">
      <c r="A1719"/>
    </row>
    <row r="1720" spans="1:1" ht="15" customHeight="1" x14ac:dyDescent="0.25">
      <c r="A1720"/>
    </row>
    <row r="1721" spans="1:1" ht="15" customHeight="1" x14ac:dyDescent="0.25">
      <c r="A1721"/>
    </row>
    <row r="1722" spans="1:1" ht="15" customHeight="1" x14ac:dyDescent="0.25">
      <c r="A1722"/>
    </row>
    <row r="1723" spans="1:1" ht="15" customHeight="1" x14ac:dyDescent="0.25">
      <c r="A1723"/>
    </row>
    <row r="1724" spans="1:1" ht="15" customHeight="1" x14ac:dyDescent="0.25">
      <c r="A1724"/>
    </row>
    <row r="1725" spans="1:1" ht="15" customHeight="1" x14ac:dyDescent="0.25">
      <c r="A1725"/>
    </row>
    <row r="1726" spans="1:1" ht="15" customHeight="1" x14ac:dyDescent="0.25">
      <c r="A1726"/>
    </row>
    <row r="1727" spans="1:1" ht="15" customHeight="1" x14ac:dyDescent="0.25">
      <c r="A1727"/>
    </row>
    <row r="1728" spans="1:1" ht="15" customHeight="1" x14ac:dyDescent="0.25">
      <c r="A1728"/>
    </row>
    <row r="1729" spans="1:1" ht="15" customHeight="1" x14ac:dyDescent="0.25">
      <c r="A1729"/>
    </row>
    <row r="1730" spans="1:1" ht="15" customHeight="1" x14ac:dyDescent="0.25">
      <c r="A1730"/>
    </row>
    <row r="1731" spans="1:1" ht="15" customHeight="1" x14ac:dyDescent="0.25">
      <c r="A1731"/>
    </row>
    <row r="1732" spans="1:1" ht="15" customHeight="1" x14ac:dyDescent="0.25">
      <c r="A1732"/>
    </row>
    <row r="1733" spans="1:1" ht="15" customHeight="1" x14ac:dyDescent="0.25">
      <c r="A1733"/>
    </row>
    <row r="1734" spans="1:1" ht="15" customHeight="1" x14ac:dyDescent="0.25">
      <c r="A1734"/>
    </row>
    <row r="1735" spans="1:1" ht="15" customHeight="1" x14ac:dyDescent="0.25">
      <c r="A1735"/>
    </row>
    <row r="1736" spans="1:1" ht="15" customHeight="1" x14ac:dyDescent="0.25">
      <c r="A1736"/>
    </row>
    <row r="1737" spans="1:1" ht="15" customHeight="1" x14ac:dyDescent="0.25">
      <c r="A1737"/>
    </row>
    <row r="1738" spans="1:1" ht="15" customHeight="1" x14ac:dyDescent="0.25">
      <c r="A1738"/>
    </row>
    <row r="1739" spans="1:1" ht="15" customHeight="1" x14ac:dyDescent="0.25">
      <c r="A1739"/>
    </row>
    <row r="1740" spans="1:1" ht="15" customHeight="1" x14ac:dyDescent="0.25">
      <c r="A1740"/>
    </row>
    <row r="1741" spans="1:1" ht="15" customHeight="1" x14ac:dyDescent="0.25">
      <c r="A1741"/>
    </row>
    <row r="1742" spans="1:1" ht="15" customHeight="1" x14ac:dyDescent="0.25">
      <c r="A1742"/>
    </row>
    <row r="1743" spans="1:1" ht="15" customHeight="1" x14ac:dyDescent="0.25">
      <c r="A1743"/>
    </row>
    <row r="1744" spans="1:1" ht="15" customHeight="1" x14ac:dyDescent="0.25">
      <c r="A1744"/>
    </row>
    <row r="1745" spans="1:1" ht="15" customHeight="1" x14ac:dyDescent="0.25">
      <c r="A1745"/>
    </row>
    <row r="1746" spans="1:1" ht="15" customHeight="1" x14ac:dyDescent="0.25">
      <c r="A1746"/>
    </row>
    <row r="1747" spans="1:1" ht="15" customHeight="1" x14ac:dyDescent="0.25">
      <c r="A1747"/>
    </row>
    <row r="1748" spans="1:1" ht="15" customHeight="1" x14ac:dyDescent="0.25">
      <c r="A1748"/>
    </row>
    <row r="1749" spans="1:1" ht="15" customHeight="1" x14ac:dyDescent="0.25">
      <c r="A1749"/>
    </row>
    <row r="1750" spans="1:1" ht="15" customHeight="1" x14ac:dyDescent="0.25">
      <c r="A1750"/>
    </row>
    <row r="1751" spans="1:1" ht="15" customHeight="1" x14ac:dyDescent="0.25">
      <c r="A1751"/>
    </row>
    <row r="1752" spans="1:1" ht="15" customHeight="1" x14ac:dyDescent="0.25">
      <c r="A1752"/>
    </row>
    <row r="1753" spans="1:1" ht="15" customHeight="1" x14ac:dyDescent="0.25">
      <c r="A1753"/>
    </row>
    <row r="1754" spans="1:1" ht="15" customHeight="1" x14ac:dyDescent="0.25">
      <c r="A1754"/>
    </row>
    <row r="1755" spans="1:1" ht="15" customHeight="1" x14ac:dyDescent="0.25">
      <c r="A1755"/>
    </row>
    <row r="1756" spans="1:1" ht="15" customHeight="1" x14ac:dyDescent="0.25">
      <c r="A1756"/>
    </row>
    <row r="1757" spans="1:1" ht="15" customHeight="1" x14ac:dyDescent="0.25">
      <c r="A1757"/>
    </row>
    <row r="1758" spans="1:1" ht="15" customHeight="1" x14ac:dyDescent="0.25">
      <c r="A1758"/>
    </row>
    <row r="1759" spans="1:1" ht="15" customHeight="1" x14ac:dyDescent="0.25">
      <c r="A1759"/>
    </row>
    <row r="1760" spans="1:1" ht="15" customHeight="1" x14ac:dyDescent="0.25">
      <c r="A1760"/>
    </row>
    <row r="1761" spans="1:1" ht="15" customHeight="1" x14ac:dyDescent="0.25">
      <c r="A1761"/>
    </row>
    <row r="1762" spans="1:1" ht="15" customHeight="1" x14ac:dyDescent="0.25">
      <c r="A1762"/>
    </row>
    <row r="1763" spans="1:1" ht="15" customHeight="1" x14ac:dyDescent="0.25">
      <c r="A1763"/>
    </row>
    <row r="1764" spans="1:1" ht="15" customHeight="1" x14ac:dyDescent="0.25">
      <c r="A1764"/>
    </row>
    <row r="1765" spans="1:1" ht="15" customHeight="1" x14ac:dyDescent="0.25">
      <c r="A1765"/>
    </row>
    <row r="1766" spans="1:1" ht="15" customHeight="1" x14ac:dyDescent="0.25">
      <c r="A1766"/>
    </row>
    <row r="1767" spans="1:1" ht="15" customHeight="1" x14ac:dyDescent="0.25">
      <c r="A1767"/>
    </row>
    <row r="1768" spans="1:1" ht="15" customHeight="1" x14ac:dyDescent="0.25">
      <c r="A1768"/>
    </row>
    <row r="1769" spans="1:1" ht="15" customHeight="1" x14ac:dyDescent="0.25">
      <c r="A1769"/>
    </row>
    <row r="1770" spans="1:1" ht="15" customHeight="1" x14ac:dyDescent="0.25">
      <c r="A1770"/>
    </row>
    <row r="1771" spans="1:1" ht="15" customHeight="1" x14ac:dyDescent="0.25">
      <c r="A1771"/>
    </row>
    <row r="1772" spans="1:1" ht="15" customHeight="1" x14ac:dyDescent="0.25">
      <c r="A1772"/>
    </row>
    <row r="1773" spans="1:1" ht="15" customHeight="1" x14ac:dyDescent="0.25">
      <c r="A1773"/>
    </row>
    <row r="1774" spans="1:1" ht="15" customHeight="1" x14ac:dyDescent="0.25">
      <c r="A1774"/>
    </row>
    <row r="1775" spans="1:1" ht="15" customHeight="1" x14ac:dyDescent="0.25">
      <c r="A1775"/>
    </row>
    <row r="1776" spans="1:1" ht="15" customHeight="1" x14ac:dyDescent="0.25">
      <c r="A1776"/>
    </row>
    <row r="1777" spans="1:1" ht="15" customHeight="1" x14ac:dyDescent="0.25">
      <c r="A1777"/>
    </row>
    <row r="1778" spans="1:1" ht="15" customHeight="1" x14ac:dyDescent="0.25">
      <c r="A1778"/>
    </row>
    <row r="1779" spans="1:1" ht="15" customHeight="1" x14ac:dyDescent="0.25">
      <c r="A1779"/>
    </row>
    <row r="1780" spans="1:1" ht="15" customHeight="1" x14ac:dyDescent="0.25">
      <c r="A1780"/>
    </row>
    <row r="1781" spans="1:1" ht="15" customHeight="1" x14ac:dyDescent="0.25">
      <c r="A1781"/>
    </row>
    <row r="1782" spans="1:1" ht="15" customHeight="1" x14ac:dyDescent="0.25">
      <c r="A1782"/>
    </row>
    <row r="1783" spans="1:1" ht="15" customHeight="1" x14ac:dyDescent="0.25">
      <c r="A1783"/>
    </row>
    <row r="1784" spans="1:1" ht="15" customHeight="1" x14ac:dyDescent="0.25">
      <c r="A1784"/>
    </row>
    <row r="1785" spans="1:1" ht="15" customHeight="1" x14ac:dyDescent="0.25">
      <c r="A1785"/>
    </row>
    <row r="1786" spans="1:1" ht="15" customHeight="1" x14ac:dyDescent="0.25">
      <c r="A1786"/>
    </row>
    <row r="1787" spans="1:1" ht="15" customHeight="1" x14ac:dyDescent="0.25">
      <c r="A1787"/>
    </row>
    <row r="1788" spans="1:1" ht="15" customHeight="1" x14ac:dyDescent="0.25">
      <c r="A1788"/>
    </row>
    <row r="1789" spans="1:1" ht="15" customHeight="1" x14ac:dyDescent="0.25">
      <c r="A1789"/>
    </row>
    <row r="1790" spans="1:1" ht="15" customHeight="1" x14ac:dyDescent="0.25">
      <c r="A1790"/>
    </row>
    <row r="1791" spans="1:1" ht="15" customHeight="1" x14ac:dyDescent="0.25">
      <c r="A1791"/>
    </row>
    <row r="1792" spans="1:1" ht="15" customHeight="1" x14ac:dyDescent="0.25">
      <c r="A1792"/>
    </row>
    <row r="1793" spans="1:1" ht="15" customHeight="1" x14ac:dyDescent="0.25">
      <c r="A1793"/>
    </row>
    <row r="1794" spans="1:1" ht="15" customHeight="1" x14ac:dyDescent="0.25">
      <c r="A1794"/>
    </row>
    <row r="1795" spans="1:1" ht="15" customHeight="1" x14ac:dyDescent="0.25">
      <c r="A1795"/>
    </row>
    <row r="1796" spans="1:1" ht="15" customHeight="1" x14ac:dyDescent="0.25">
      <c r="A1796"/>
    </row>
    <row r="1797" spans="1:1" ht="15" customHeight="1" x14ac:dyDescent="0.25">
      <c r="A1797"/>
    </row>
    <row r="1798" spans="1:1" ht="15" customHeight="1" x14ac:dyDescent="0.25">
      <c r="A1798"/>
    </row>
    <row r="1799" spans="1:1" ht="15" customHeight="1" x14ac:dyDescent="0.25">
      <c r="A1799"/>
    </row>
    <row r="1800" spans="1:1" ht="15" customHeight="1" x14ac:dyDescent="0.25">
      <c r="A1800"/>
    </row>
    <row r="1801" spans="1:1" ht="15" customHeight="1" x14ac:dyDescent="0.25">
      <c r="A1801"/>
    </row>
    <row r="1802" spans="1:1" ht="15" customHeight="1" x14ac:dyDescent="0.25">
      <c r="A1802"/>
    </row>
    <row r="1803" spans="1:1" ht="15" customHeight="1" x14ac:dyDescent="0.25">
      <c r="A1803"/>
    </row>
    <row r="1804" spans="1:1" ht="15" customHeight="1" x14ac:dyDescent="0.25">
      <c r="A1804"/>
    </row>
    <row r="1805" spans="1:1" ht="15" customHeight="1" x14ac:dyDescent="0.25">
      <c r="A1805"/>
    </row>
    <row r="1806" spans="1:1" ht="15" customHeight="1" x14ac:dyDescent="0.25">
      <c r="A1806"/>
    </row>
    <row r="1807" spans="1:1" ht="15" customHeight="1" x14ac:dyDescent="0.25">
      <c r="A1807"/>
    </row>
    <row r="1808" spans="1:1" ht="15" customHeight="1" x14ac:dyDescent="0.25">
      <c r="A1808"/>
    </row>
    <row r="1809" spans="1:1" ht="15" customHeight="1" x14ac:dyDescent="0.25">
      <c r="A1809"/>
    </row>
    <row r="1810" spans="1:1" ht="15" customHeight="1" x14ac:dyDescent="0.25">
      <c r="A1810"/>
    </row>
    <row r="1811" spans="1:1" ht="15" customHeight="1" x14ac:dyDescent="0.25">
      <c r="A1811"/>
    </row>
    <row r="1812" spans="1:1" ht="15" customHeight="1" x14ac:dyDescent="0.25">
      <c r="A1812"/>
    </row>
    <row r="1813" spans="1:1" ht="15" customHeight="1" x14ac:dyDescent="0.25">
      <c r="A1813"/>
    </row>
    <row r="1814" spans="1:1" ht="15" customHeight="1" x14ac:dyDescent="0.25">
      <c r="A1814"/>
    </row>
    <row r="1815" spans="1:1" ht="15" customHeight="1" x14ac:dyDescent="0.25">
      <c r="A1815"/>
    </row>
    <row r="1816" spans="1:1" ht="15" customHeight="1" x14ac:dyDescent="0.25">
      <c r="A1816"/>
    </row>
    <row r="1817" spans="1:1" ht="15" customHeight="1" x14ac:dyDescent="0.25">
      <c r="A1817"/>
    </row>
    <row r="1818" spans="1:1" ht="15" customHeight="1" x14ac:dyDescent="0.25">
      <c r="A1818"/>
    </row>
    <row r="1819" spans="1:1" ht="15" customHeight="1" x14ac:dyDescent="0.25">
      <c r="A1819"/>
    </row>
    <row r="1820" spans="1:1" ht="15" customHeight="1" x14ac:dyDescent="0.25">
      <c r="A1820"/>
    </row>
    <row r="1821" spans="1:1" ht="15" customHeight="1" x14ac:dyDescent="0.25">
      <c r="A1821"/>
    </row>
    <row r="1822" spans="1:1" ht="15" customHeight="1" x14ac:dyDescent="0.25">
      <c r="A1822"/>
    </row>
    <row r="1823" spans="1:1" ht="15" customHeight="1" x14ac:dyDescent="0.25">
      <c r="A1823"/>
    </row>
    <row r="1824" spans="1:1" ht="15" customHeight="1" x14ac:dyDescent="0.25">
      <c r="A1824"/>
    </row>
    <row r="1825" spans="1:1" ht="15" customHeight="1" x14ac:dyDescent="0.25">
      <c r="A1825"/>
    </row>
    <row r="1826" spans="1:1" ht="15" customHeight="1" x14ac:dyDescent="0.25">
      <c r="A1826"/>
    </row>
    <row r="1827" spans="1:1" ht="15" customHeight="1" x14ac:dyDescent="0.25">
      <c r="A1827"/>
    </row>
    <row r="1828" spans="1:1" ht="15" customHeight="1" x14ac:dyDescent="0.25">
      <c r="A1828"/>
    </row>
    <row r="1829" spans="1:1" ht="15" customHeight="1" x14ac:dyDescent="0.25">
      <c r="A1829"/>
    </row>
    <row r="1830" spans="1:1" ht="15" customHeight="1" x14ac:dyDescent="0.25">
      <c r="A1830"/>
    </row>
    <row r="1831" spans="1:1" ht="15" customHeight="1" x14ac:dyDescent="0.25">
      <c r="A1831"/>
    </row>
    <row r="1832" spans="1:1" ht="15" customHeight="1" x14ac:dyDescent="0.25">
      <c r="A1832"/>
    </row>
    <row r="1833" spans="1:1" ht="15" customHeight="1" x14ac:dyDescent="0.25">
      <c r="A1833"/>
    </row>
    <row r="1834" spans="1:1" ht="15" customHeight="1" x14ac:dyDescent="0.25">
      <c r="A1834"/>
    </row>
    <row r="1835" spans="1:1" ht="15" customHeight="1" x14ac:dyDescent="0.25">
      <c r="A1835"/>
    </row>
    <row r="1836" spans="1:1" ht="15" customHeight="1" x14ac:dyDescent="0.25">
      <c r="A1836"/>
    </row>
    <row r="1837" spans="1:1" ht="15" customHeight="1" x14ac:dyDescent="0.25">
      <c r="A1837"/>
    </row>
    <row r="1838" spans="1:1" ht="15" customHeight="1" x14ac:dyDescent="0.25">
      <c r="A1838"/>
    </row>
    <row r="1839" spans="1:1" ht="15" customHeight="1" x14ac:dyDescent="0.25">
      <c r="A1839"/>
    </row>
    <row r="1840" spans="1:1" ht="15" customHeight="1" x14ac:dyDescent="0.25">
      <c r="A1840"/>
    </row>
    <row r="1841" spans="1:1" ht="15" customHeight="1" x14ac:dyDescent="0.25">
      <c r="A1841"/>
    </row>
    <row r="1842" spans="1:1" ht="15" customHeight="1" x14ac:dyDescent="0.25">
      <c r="A1842"/>
    </row>
    <row r="1843" spans="1:1" ht="15" customHeight="1" x14ac:dyDescent="0.25">
      <c r="A1843"/>
    </row>
    <row r="1844" spans="1:1" ht="15" customHeight="1" x14ac:dyDescent="0.25">
      <c r="A1844"/>
    </row>
    <row r="1845" spans="1:1" ht="15" customHeight="1" x14ac:dyDescent="0.25">
      <c r="A1845"/>
    </row>
    <row r="1846" spans="1:1" ht="15" customHeight="1" x14ac:dyDescent="0.25">
      <c r="A1846"/>
    </row>
    <row r="1847" spans="1:1" ht="15" customHeight="1" x14ac:dyDescent="0.25">
      <c r="A1847"/>
    </row>
    <row r="1848" spans="1:1" ht="15" customHeight="1" x14ac:dyDescent="0.25">
      <c r="A1848"/>
    </row>
    <row r="1849" spans="1:1" ht="15" customHeight="1" x14ac:dyDescent="0.25">
      <c r="A1849"/>
    </row>
    <row r="1850" spans="1:1" ht="15" customHeight="1" x14ac:dyDescent="0.25">
      <c r="A1850"/>
    </row>
    <row r="1851" spans="1:1" ht="15" customHeight="1" x14ac:dyDescent="0.25">
      <c r="A1851"/>
    </row>
    <row r="1852" spans="1:1" ht="15" customHeight="1" x14ac:dyDescent="0.25">
      <c r="A1852"/>
    </row>
    <row r="1853" spans="1:1" ht="15" customHeight="1" x14ac:dyDescent="0.25">
      <c r="A1853"/>
    </row>
    <row r="1854" spans="1:1" ht="15" customHeight="1" x14ac:dyDescent="0.25">
      <c r="A1854"/>
    </row>
    <row r="1855" spans="1:1" ht="15" customHeight="1" x14ac:dyDescent="0.25">
      <c r="A1855"/>
    </row>
    <row r="1856" spans="1:1" ht="15" customHeight="1" x14ac:dyDescent="0.25">
      <c r="A1856"/>
    </row>
    <row r="1857" spans="1:1" ht="15" customHeight="1" x14ac:dyDescent="0.25">
      <c r="A1857"/>
    </row>
    <row r="1858" spans="1:1" ht="15" customHeight="1" x14ac:dyDescent="0.25">
      <c r="A1858"/>
    </row>
    <row r="1859" spans="1:1" ht="15" customHeight="1" x14ac:dyDescent="0.25">
      <c r="A1859"/>
    </row>
    <row r="1860" spans="1:1" ht="15" customHeight="1" x14ac:dyDescent="0.25">
      <c r="A1860"/>
    </row>
    <row r="1861" spans="1:1" ht="15" customHeight="1" x14ac:dyDescent="0.25">
      <c r="A1861"/>
    </row>
    <row r="1862" spans="1:1" ht="15" customHeight="1" x14ac:dyDescent="0.25">
      <c r="A1862"/>
    </row>
    <row r="1863" spans="1:1" ht="15" customHeight="1" x14ac:dyDescent="0.25">
      <c r="A1863"/>
    </row>
    <row r="1864" spans="1:1" ht="15" customHeight="1" x14ac:dyDescent="0.25">
      <c r="A1864"/>
    </row>
    <row r="1865" spans="1:1" ht="15" customHeight="1" x14ac:dyDescent="0.25">
      <c r="A1865"/>
    </row>
    <row r="1866" spans="1:1" ht="15" customHeight="1" x14ac:dyDescent="0.25">
      <c r="A1866"/>
    </row>
    <row r="1867" spans="1:1" ht="15" customHeight="1" x14ac:dyDescent="0.25">
      <c r="A1867"/>
    </row>
    <row r="1868" spans="1:1" ht="15" customHeight="1" x14ac:dyDescent="0.25">
      <c r="A1868"/>
    </row>
    <row r="1869" spans="1:1" ht="15" customHeight="1" x14ac:dyDescent="0.25">
      <c r="A1869"/>
    </row>
    <row r="1870" spans="1:1" ht="15" customHeight="1" x14ac:dyDescent="0.25">
      <c r="A1870"/>
    </row>
    <row r="1871" spans="1:1" ht="15" customHeight="1" x14ac:dyDescent="0.25">
      <c r="A1871"/>
    </row>
    <row r="1872" spans="1:1" ht="15" customHeight="1" x14ac:dyDescent="0.25">
      <c r="A1872"/>
    </row>
    <row r="1873" spans="1:1" ht="15" customHeight="1" x14ac:dyDescent="0.25">
      <c r="A1873"/>
    </row>
    <row r="1874" spans="1:1" ht="15" customHeight="1" x14ac:dyDescent="0.25">
      <c r="A1874"/>
    </row>
    <row r="1875" spans="1:1" ht="15" customHeight="1" x14ac:dyDescent="0.25">
      <c r="A1875"/>
    </row>
    <row r="1876" spans="1:1" ht="15" customHeight="1" x14ac:dyDescent="0.25">
      <c r="A1876"/>
    </row>
    <row r="1877" spans="1:1" ht="15" customHeight="1" x14ac:dyDescent="0.25">
      <c r="A1877"/>
    </row>
    <row r="1878" spans="1:1" ht="15" customHeight="1" x14ac:dyDescent="0.25">
      <c r="A1878"/>
    </row>
    <row r="1879" spans="1:1" ht="15" customHeight="1" x14ac:dyDescent="0.25">
      <c r="A1879"/>
    </row>
    <row r="1880" spans="1:1" ht="15" customHeight="1" x14ac:dyDescent="0.25">
      <c r="A1880"/>
    </row>
    <row r="1881" spans="1:1" ht="15" customHeight="1" x14ac:dyDescent="0.25">
      <c r="A1881"/>
    </row>
    <row r="1882" spans="1:1" ht="15" customHeight="1" x14ac:dyDescent="0.25">
      <c r="A1882"/>
    </row>
    <row r="1883" spans="1:1" ht="15" customHeight="1" x14ac:dyDescent="0.25">
      <c r="A1883"/>
    </row>
    <row r="1884" spans="1:1" ht="15" customHeight="1" x14ac:dyDescent="0.25">
      <c r="A1884"/>
    </row>
    <row r="1885" spans="1:1" ht="15" customHeight="1" x14ac:dyDescent="0.25">
      <c r="A1885"/>
    </row>
    <row r="1886" spans="1:1" ht="15" customHeight="1" x14ac:dyDescent="0.25">
      <c r="A1886"/>
    </row>
    <row r="1887" spans="1:1" ht="15" customHeight="1" x14ac:dyDescent="0.25">
      <c r="A1887"/>
    </row>
    <row r="1888" spans="1:1" ht="15" customHeight="1" x14ac:dyDescent="0.25">
      <c r="A1888"/>
    </row>
    <row r="1889" spans="1:1" ht="15" customHeight="1" x14ac:dyDescent="0.25">
      <c r="A1889"/>
    </row>
    <row r="1890" spans="1:1" ht="15" customHeight="1" x14ac:dyDescent="0.25">
      <c r="A1890"/>
    </row>
    <row r="1891" spans="1:1" ht="15" customHeight="1" x14ac:dyDescent="0.25">
      <c r="A1891"/>
    </row>
    <row r="1892" spans="1:1" ht="15" customHeight="1" x14ac:dyDescent="0.25">
      <c r="A1892"/>
    </row>
    <row r="1893" spans="1:1" ht="15" customHeight="1" x14ac:dyDescent="0.25">
      <c r="A1893"/>
    </row>
    <row r="1894" spans="1:1" ht="15" customHeight="1" x14ac:dyDescent="0.25">
      <c r="A1894"/>
    </row>
    <row r="1895" spans="1:1" ht="15" customHeight="1" x14ac:dyDescent="0.25">
      <c r="A1895"/>
    </row>
    <row r="1896" spans="1:1" ht="15" customHeight="1" x14ac:dyDescent="0.25">
      <c r="A1896"/>
    </row>
    <row r="1897" spans="1:1" ht="15" customHeight="1" x14ac:dyDescent="0.25">
      <c r="A1897"/>
    </row>
    <row r="1898" spans="1:1" ht="15" customHeight="1" x14ac:dyDescent="0.25">
      <c r="A1898"/>
    </row>
    <row r="1899" spans="1:1" ht="15" customHeight="1" x14ac:dyDescent="0.25">
      <c r="A1899"/>
    </row>
    <row r="1900" spans="1:1" ht="15" customHeight="1" x14ac:dyDescent="0.25">
      <c r="A1900"/>
    </row>
    <row r="1901" spans="1:1" ht="15" customHeight="1" x14ac:dyDescent="0.25">
      <c r="A1901"/>
    </row>
    <row r="1902" spans="1:1" ht="15" customHeight="1" x14ac:dyDescent="0.25">
      <c r="A1902"/>
    </row>
    <row r="1903" spans="1:1" ht="15" customHeight="1" x14ac:dyDescent="0.25">
      <c r="A1903"/>
    </row>
    <row r="1904" spans="1:1" ht="15" customHeight="1" x14ac:dyDescent="0.25">
      <c r="A1904"/>
    </row>
    <row r="1905" spans="1:1" ht="15" customHeight="1" x14ac:dyDescent="0.25">
      <c r="A1905"/>
    </row>
    <row r="1906" spans="1:1" ht="15" customHeight="1" x14ac:dyDescent="0.25">
      <c r="A1906"/>
    </row>
    <row r="1907" spans="1:1" ht="15" customHeight="1" x14ac:dyDescent="0.25">
      <c r="A1907"/>
    </row>
    <row r="1908" spans="1:1" ht="15" customHeight="1" x14ac:dyDescent="0.25">
      <c r="A1908"/>
    </row>
    <row r="1909" spans="1:1" ht="15" customHeight="1" x14ac:dyDescent="0.25">
      <c r="A1909"/>
    </row>
    <row r="1910" spans="1:1" ht="15" customHeight="1" x14ac:dyDescent="0.25">
      <c r="A1910"/>
    </row>
    <row r="1911" spans="1:1" ht="15" customHeight="1" x14ac:dyDescent="0.25">
      <c r="A1911"/>
    </row>
    <row r="1912" spans="1:1" ht="15" customHeight="1" x14ac:dyDescent="0.25">
      <c r="A1912"/>
    </row>
    <row r="1913" spans="1:1" ht="15" customHeight="1" x14ac:dyDescent="0.25">
      <c r="A1913"/>
    </row>
    <row r="1914" spans="1:1" ht="15" customHeight="1" x14ac:dyDescent="0.25">
      <c r="A1914"/>
    </row>
    <row r="1915" spans="1:1" ht="15" customHeight="1" x14ac:dyDescent="0.25">
      <c r="A1915"/>
    </row>
    <row r="1916" spans="1:1" ht="15" customHeight="1" x14ac:dyDescent="0.25">
      <c r="A1916"/>
    </row>
    <row r="1917" spans="1:1" ht="15" customHeight="1" x14ac:dyDescent="0.25">
      <c r="A1917"/>
    </row>
    <row r="1918" spans="1:1" ht="15" customHeight="1" x14ac:dyDescent="0.25">
      <c r="A1918"/>
    </row>
    <row r="1919" spans="1:1" ht="15" customHeight="1" x14ac:dyDescent="0.25">
      <c r="A1919"/>
    </row>
    <row r="1920" spans="1:1" ht="15" customHeight="1" x14ac:dyDescent="0.25">
      <c r="A1920"/>
    </row>
    <row r="1921" spans="1:1" ht="15" customHeight="1" x14ac:dyDescent="0.25">
      <c r="A1921"/>
    </row>
    <row r="1922" spans="1:1" ht="15" customHeight="1" x14ac:dyDescent="0.25">
      <c r="A1922"/>
    </row>
    <row r="1923" spans="1:1" ht="15" customHeight="1" x14ac:dyDescent="0.25">
      <c r="A1923"/>
    </row>
    <row r="1924" spans="1:1" ht="15" customHeight="1" x14ac:dyDescent="0.25">
      <c r="A1924"/>
    </row>
    <row r="1925" spans="1:1" ht="15" customHeight="1" x14ac:dyDescent="0.25">
      <c r="A1925"/>
    </row>
    <row r="1926" spans="1:1" ht="15" customHeight="1" x14ac:dyDescent="0.25">
      <c r="A1926"/>
    </row>
    <row r="1927" spans="1:1" ht="15" customHeight="1" x14ac:dyDescent="0.25">
      <c r="A1927"/>
    </row>
    <row r="1928" spans="1:1" ht="15" customHeight="1" x14ac:dyDescent="0.25">
      <c r="A1928"/>
    </row>
    <row r="1929" spans="1:1" ht="15" customHeight="1" x14ac:dyDescent="0.25">
      <c r="A1929"/>
    </row>
    <row r="1930" spans="1:1" ht="15" customHeight="1" x14ac:dyDescent="0.25">
      <c r="A1930"/>
    </row>
    <row r="1931" spans="1:1" ht="15" customHeight="1" x14ac:dyDescent="0.25">
      <c r="A1931"/>
    </row>
    <row r="1932" spans="1:1" ht="15" customHeight="1" x14ac:dyDescent="0.25">
      <c r="A1932"/>
    </row>
    <row r="1933" spans="1:1" ht="15" customHeight="1" x14ac:dyDescent="0.25">
      <c r="A1933"/>
    </row>
    <row r="1934" spans="1:1" ht="15" customHeight="1" x14ac:dyDescent="0.25">
      <c r="A1934"/>
    </row>
    <row r="1935" spans="1:1" ht="15" customHeight="1" x14ac:dyDescent="0.25">
      <c r="A1935"/>
    </row>
    <row r="1936" spans="1:1" ht="15" customHeight="1" x14ac:dyDescent="0.25">
      <c r="A1936"/>
    </row>
    <row r="1937" spans="1:1" ht="15" customHeight="1" x14ac:dyDescent="0.25">
      <c r="A1937"/>
    </row>
    <row r="1938" spans="1:1" ht="15" customHeight="1" x14ac:dyDescent="0.25">
      <c r="A1938"/>
    </row>
    <row r="1939" spans="1:1" ht="15" customHeight="1" x14ac:dyDescent="0.25">
      <c r="A1939"/>
    </row>
    <row r="1940" spans="1:1" ht="15" customHeight="1" x14ac:dyDescent="0.25">
      <c r="A1940"/>
    </row>
    <row r="1941" spans="1:1" ht="15" customHeight="1" x14ac:dyDescent="0.25">
      <c r="A1941"/>
    </row>
    <row r="1942" spans="1:1" ht="15" customHeight="1" x14ac:dyDescent="0.25">
      <c r="A1942"/>
    </row>
    <row r="1943" spans="1:1" ht="15" customHeight="1" x14ac:dyDescent="0.25">
      <c r="A1943"/>
    </row>
    <row r="1944" spans="1:1" ht="15" customHeight="1" x14ac:dyDescent="0.25">
      <c r="A1944"/>
    </row>
    <row r="1945" spans="1:1" ht="15" customHeight="1" x14ac:dyDescent="0.25">
      <c r="A1945"/>
    </row>
    <row r="1946" spans="1:1" ht="15" customHeight="1" x14ac:dyDescent="0.25">
      <c r="A1946"/>
    </row>
    <row r="1947" spans="1:1" ht="15" customHeight="1" x14ac:dyDescent="0.25">
      <c r="A1947"/>
    </row>
    <row r="1948" spans="1:1" ht="15" customHeight="1" x14ac:dyDescent="0.25">
      <c r="A1948"/>
    </row>
    <row r="1949" spans="1:1" ht="15" customHeight="1" x14ac:dyDescent="0.25">
      <c r="A1949"/>
    </row>
    <row r="1950" spans="1:1" ht="15" customHeight="1" x14ac:dyDescent="0.25">
      <c r="A1950"/>
    </row>
    <row r="1951" spans="1:1" ht="15" customHeight="1" x14ac:dyDescent="0.25">
      <c r="A1951"/>
    </row>
    <row r="1952" spans="1:1" ht="15" customHeight="1" x14ac:dyDescent="0.25">
      <c r="A1952"/>
    </row>
    <row r="1953" spans="1:1" ht="15" customHeight="1" x14ac:dyDescent="0.25">
      <c r="A1953"/>
    </row>
    <row r="1954" spans="1:1" ht="15" customHeight="1" x14ac:dyDescent="0.25">
      <c r="A1954"/>
    </row>
    <row r="1955" spans="1:1" ht="15" customHeight="1" x14ac:dyDescent="0.25">
      <c r="A1955"/>
    </row>
    <row r="1956" spans="1:1" ht="15" customHeight="1" x14ac:dyDescent="0.25">
      <c r="A1956"/>
    </row>
    <row r="1957" spans="1:1" ht="15" customHeight="1" x14ac:dyDescent="0.25">
      <c r="A1957"/>
    </row>
    <row r="1958" spans="1:1" ht="15" customHeight="1" x14ac:dyDescent="0.25">
      <c r="A1958"/>
    </row>
    <row r="1959" spans="1:1" ht="15" customHeight="1" x14ac:dyDescent="0.25">
      <c r="A1959"/>
    </row>
    <row r="1960" spans="1:1" ht="15" customHeight="1" x14ac:dyDescent="0.25">
      <c r="A1960"/>
    </row>
    <row r="1961" spans="1:1" ht="15" customHeight="1" x14ac:dyDescent="0.25">
      <c r="A1961"/>
    </row>
    <row r="1962" spans="1:1" ht="15" customHeight="1" x14ac:dyDescent="0.25">
      <c r="A1962"/>
    </row>
    <row r="1963" spans="1:1" ht="15" customHeight="1" x14ac:dyDescent="0.25">
      <c r="A1963"/>
    </row>
    <row r="1964" spans="1:1" ht="15" customHeight="1" x14ac:dyDescent="0.25">
      <c r="A1964"/>
    </row>
    <row r="1965" spans="1:1" ht="15" customHeight="1" x14ac:dyDescent="0.25">
      <c r="A1965"/>
    </row>
    <row r="1966" spans="1:1" ht="15" customHeight="1" x14ac:dyDescent="0.25">
      <c r="A1966"/>
    </row>
    <row r="1967" spans="1:1" ht="15" customHeight="1" x14ac:dyDescent="0.25">
      <c r="A1967"/>
    </row>
    <row r="1968" spans="1:1" ht="15" customHeight="1" x14ac:dyDescent="0.25">
      <c r="A1968"/>
    </row>
    <row r="1969" spans="1:1" ht="15" customHeight="1" x14ac:dyDescent="0.25">
      <c r="A1969"/>
    </row>
    <row r="1970" spans="1:1" ht="15" customHeight="1" x14ac:dyDescent="0.25">
      <c r="A1970"/>
    </row>
    <row r="1971" spans="1:1" ht="15" customHeight="1" x14ac:dyDescent="0.25">
      <c r="A1971"/>
    </row>
    <row r="1972" spans="1:1" ht="15" customHeight="1" x14ac:dyDescent="0.25">
      <c r="A1972"/>
    </row>
    <row r="1973" spans="1:1" ht="15" customHeight="1" x14ac:dyDescent="0.25">
      <c r="A1973"/>
    </row>
    <row r="1974" spans="1:1" ht="15" customHeight="1" x14ac:dyDescent="0.25">
      <c r="A1974"/>
    </row>
    <row r="1975" spans="1:1" ht="15" customHeight="1" x14ac:dyDescent="0.25">
      <c r="A1975"/>
    </row>
    <row r="1976" spans="1:1" ht="15" customHeight="1" x14ac:dyDescent="0.25">
      <c r="A1976"/>
    </row>
    <row r="1977" spans="1:1" ht="15" customHeight="1" x14ac:dyDescent="0.25">
      <c r="A1977"/>
    </row>
    <row r="1978" spans="1:1" ht="15" customHeight="1" x14ac:dyDescent="0.25">
      <c r="A1978"/>
    </row>
    <row r="1979" spans="1:1" ht="15" customHeight="1" x14ac:dyDescent="0.25">
      <c r="A1979"/>
    </row>
    <row r="1980" spans="1:1" ht="15" customHeight="1" x14ac:dyDescent="0.25">
      <c r="A1980"/>
    </row>
    <row r="1981" spans="1:1" ht="15" customHeight="1" x14ac:dyDescent="0.25">
      <c r="A1981"/>
    </row>
    <row r="1982" spans="1:1" ht="15" customHeight="1" x14ac:dyDescent="0.25">
      <c r="A1982"/>
    </row>
    <row r="1983" spans="1:1" ht="15" customHeight="1" x14ac:dyDescent="0.25">
      <c r="A1983"/>
    </row>
    <row r="1984" spans="1:1" ht="15" customHeight="1" x14ac:dyDescent="0.25">
      <c r="A1984"/>
    </row>
    <row r="1985" spans="1:1" ht="15" customHeight="1" x14ac:dyDescent="0.25">
      <c r="A1985"/>
    </row>
    <row r="1986" spans="1:1" ht="15" customHeight="1" x14ac:dyDescent="0.25">
      <c r="A1986"/>
    </row>
    <row r="1987" spans="1:1" ht="15" customHeight="1" x14ac:dyDescent="0.25">
      <c r="A1987"/>
    </row>
    <row r="1988" spans="1:1" ht="15" customHeight="1" x14ac:dyDescent="0.25">
      <c r="A1988"/>
    </row>
    <row r="1989" spans="1:1" ht="15" customHeight="1" x14ac:dyDescent="0.25">
      <c r="A1989"/>
    </row>
    <row r="1990" spans="1:1" ht="15" customHeight="1" x14ac:dyDescent="0.25">
      <c r="A1990"/>
    </row>
    <row r="1991" spans="1:1" ht="15" customHeight="1" x14ac:dyDescent="0.25">
      <c r="A1991"/>
    </row>
    <row r="1992" spans="1:1" ht="15" customHeight="1" x14ac:dyDescent="0.25">
      <c r="A1992"/>
    </row>
    <row r="1993" spans="1:1" ht="15" customHeight="1" x14ac:dyDescent="0.25">
      <c r="A1993"/>
    </row>
    <row r="1994" spans="1:1" ht="15" customHeight="1" x14ac:dyDescent="0.25">
      <c r="A1994"/>
    </row>
    <row r="1995" spans="1:1" ht="15" customHeight="1" x14ac:dyDescent="0.25">
      <c r="A1995"/>
    </row>
    <row r="1996" spans="1:1" ht="15" customHeight="1" x14ac:dyDescent="0.25">
      <c r="A1996"/>
    </row>
    <row r="1997" spans="1:1" ht="15" customHeight="1" x14ac:dyDescent="0.25">
      <c r="A1997"/>
    </row>
    <row r="1998" spans="1:1" ht="15" customHeight="1" x14ac:dyDescent="0.25">
      <c r="A1998"/>
    </row>
    <row r="1999" spans="1:1" ht="15" customHeight="1" x14ac:dyDescent="0.25">
      <c r="A1999"/>
    </row>
    <row r="2000" spans="1:1" ht="15" customHeight="1" x14ac:dyDescent="0.25">
      <c r="A2000"/>
    </row>
    <row r="2001" spans="1:1" ht="15" customHeight="1" x14ac:dyDescent="0.25">
      <c r="A2001"/>
    </row>
    <row r="2002" spans="1:1" ht="15" customHeight="1" x14ac:dyDescent="0.25">
      <c r="A2002"/>
    </row>
    <row r="2003" spans="1:1" ht="15" customHeight="1" x14ac:dyDescent="0.25">
      <c r="A2003"/>
    </row>
    <row r="2004" spans="1:1" ht="15" customHeight="1" x14ac:dyDescent="0.25">
      <c r="A2004"/>
    </row>
    <row r="2005" spans="1:1" ht="15" customHeight="1" x14ac:dyDescent="0.25">
      <c r="A2005"/>
    </row>
    <row r="2006" spans="1:1" ht="15" customHeight="1" x14ac:dyDescent="0.25">
      <c r="A2006"/>
    </row>
    <row r="2007" spans="1:1" ht="15" customHeight="1" x14ac:dyDescent="0.25">
      <c r="A2007"/>
    </row>
    <row r="2008" spans="1:1" ht="15" customHeight="1" x14ac:dyDescent="0.25">
      <c r="A2008"/>
    </row>
    <row r="2009" spans="1:1" ht="15" customHeight="1" x14ac:dyDescent="0.25">
      <c r="A2009"/>
    </row>
    <row r="2010" spans="1:1" ht="15" customHeight="1" x14ac:dyDescent="0.25">
      <c r="A2010"/>
    </row>
    <row r="2011" spans="1:1" ht="15" customHeight="1" x14ac:dyDescent="0.25">
      <c r="A2011"/>
    </row>
    <row r="2012" spans="1:1" ht="15" customHeight="1" x14ac:dyDescent="0.25">
      <c r="A2012"/>
    </row>
    <row r="2013" spans="1:1" ht="15" customHeight="1" x14ac:dyDescent="0.25">
      <c r="A2013"/>
    </row>
    <row r="2014" spans="1:1" ht="15" customHeight="1" x14ac:dyDescent="0.25">
      <c r="A2014"/>
    </row>
    <row r="2015" spans="1:1" ht="15" customHeight="1" x14ac:dyDescent="0.25">
      <c r="A2015"/>
    </row>
    <row r="2016" spans="1:1" ht="15" customHeight="1" x14ac:dyDescent="0.25">
      <c r="A2016"/>
    </row>
    <row r="2017" spans="1:1" ht="15" customHeight="1" x14ac:dyDescent="0.25">
      <c r="A2017"/>
    </row>
    <row r="2018" spans="1:1" ht="15" customHeight="1" x14ac:dyDescent="0.25">
      <c r="A2018"/>
    </row>
    <row r="2019" spans="1:1" ht="15" customHeight="1" x14ac:dyDescent="0.25">
      <c r="A2019"/>
    </row>
    <row r="2020" spans="1:1" ht="15" customHeight="1" x14ac:dyDescent="0.25">
      <c r="A2020"/>
    </row>
    <row r="2021" spans="1:1" ht="15" customHeight="1" x14ac:dyDescent="0.25">
      <c r="A2021"/>
    </row>
    <row r="2022" spans="1:1" ht="15" customHeight="1" x14ac:dyDescent="0.25">
      <c r="A2022"/>
    </row>
    <row r="2023" spans="1:1" ht="15" customHeight="1" x14ac:dyDescent="0.25">
      <c r="A2023"/>
    </row>
    <row r="2024" spans="1:1" ht="15" customHeight="1" x14ac:dyDescent="0.25">
      <c r="A2024"/>
    </row>
    <row r="2025" spans="1:1" ht="15" customHeight="1" x14ac:dyDescent="0.25">
      <c r="A2025"/>
    </row>
    <row r="2026" spans="1:1" ht="15" customHeight="1" x14ac:dyDescent="0.25">
      <c r="A2026"/>
    </row>
    <row r="2027" spans="1:1" ht="15" customHeight="1" x14ac:dyDescent="0.25">
      <c r="A2027"/>
    </row>
    <row r="2028" spans="1:1" ht="15" customHeight="1" x14ac:dyDescent="0.25">
      <c r="A2028"/>
    </row>
    <row r="2029" spans="1:1" ht="15" customHeight="1" x14ac:dyDescent="0.25">
      <c r="A2029"/>
    </row>
    <row r="2030" spans="1:1" ht="15" customHeight="1" x14ac:dyDescent="0.25">
      <c r="A2030"/>
    </row>
    <row r="2031" spans="1:1" ht="15" customHeight="1" x14ac:dyDescent="0.25">
      <c r="A2031"/>
    </row>
    <row r="2032" spans="1:1" ht="15" customHeight="1" x14ac:dyDescent="0.25">
      <c r="A2032"/>
    </row>
    <row r="2033" spans="1:1" ht="15" customHeight="1" x14ac:dyDescent="0.25">
      <c r="A2033"/>
    </row>
    <row r="2034" spans="1:1" ht="15" customHeight="1" x14ac:dyDescent="0.25">
      <c r="A2034"/>
    </row>
    <row r="2035" spans="1:1" ht="15" customHeight="1" x14ac:dyDescent="0.25">
      <c r="A2035"/>
    </row>
    <row r="2036" spans="1:1" ht="15" customHeight="1" x14ac:dyDescent="0.25">
      <c r="A2036"/>
    </row>
    <row r="2037" spans="1:1" ht="15" customHeight="1" x14ac:dyDescent="0.25">
      <c r="A2037"/>
    </row>
    <row r="2038" spans="1:1" ht="15" customHeight="1" x14ac:dyDescent="0.25">
      <c r="A2038"/>
    </row>
    <row r="2039" spans="1:1" ht="15" customHeight="1" x14ac:dyDescent="0.25">
      <c r="A2039"/>
    </row>
    <row r="2040" spans="1:1" ht="15" customHeight="1" x14ac:dyDescent="0.25">
      <c r="A2040"/>
    </row>
    <row r="2041" spans="1:1" ht="15" customHeight="1" x14ac:dyDescent="0.25">
      <c r="A2041"/>
    </row>
    <row r="2042" spans="1:1" ht="15" customHeight="1" x14ac:dyDescent="0.25">
      <c r="A2042"/>
    </row>
    <row r="2043" spans="1:1" ht="15" customHeight="1" x14ac:dyDescent="0.25">
      <c r="A2043"/>
    </row>
    <row r="2044" spans="1:1" ht="15" customHeight="1" x14ac:dyDescent="0.25">
      <c r="A2044"/>
    </row>
    <row r="2045" spans="1:1" ht="15" customHeight="1" x14ac:dyDescent="0.25">
      <c r="A2045"/>
    </row>
    <row r="2046" spans="1:1" ht="15" customHeight="1" x14ac:dyDescent="0.25">
      <c r="A2046"/>
    </row>
    <row r="2047" spans="1:1" ht="15" customHeight="1" x14ac:dyDescent="0.25">
      <c r="A2047"/>
    </row>
    <row r="2048" spans="1:1" ht="15" customHeight="1" x14ac:dyDescent="0.25">
      <c r="A2048"/>
    </row>
    <row r="2049" spans="1:1" ht="15" customHeight="1" x14ac:dyDescent="0.25">
      <c r="A2049"/>
    </row>
    <row r="2050" spans="1:1" ht="15" customHeight="1" x14ac:dyDescent="0.25">
      <c r="A2050"/>
    </row>
    <row r="2051" spans="1:1" ht="15" customHeight="1" x14ac:dyDescent="0.25">
      <c r="A2051"/>
    </row>
    <row r="2052" spans="1:1" ht="15" customHeight="1" x14ac:dyDescent="0.25">
      <c r="A2052"/>
    </row>
    <row r="2053" spans="1:1" ht="15" customHeight="1" x14ac:dyDescent="0.25">
      <c r="A2053"/>
    </row>
    <row r="2054" spans="1:1" ht="15" customHeight="1" x14ac:dyDescent="0.25">
      <c r="A2054"/>
    </row>
    <row r="2055" spans="1:1" ht="15" customHeight="1" x14ac:dyDescent="0.25">
      <c r="A2055"/>
    </row>
    <row r="2056" spans="1:1" ht="15" customHeight="1" x14ac:dyDescent="0.25">
      <c r="A2056"/>
    </row>
    <row r="2057" spans="1:1" ht="15" customHeight="1" x14ac:dyDescent="0.25">
      <c r="A2057"/>
    </row>
    <row r="2058" spans="1:1" ht="15" customHeight="1" x14ac:dyDescent="0.25">
      <c r="A2058"/>
    </row>
    <row r="2059" spans="1:1" ht="15" customHeight="1" x14ac:dyDescent="0.25">
      <c r="A2059"/>
    </row>
    <row r="2060" spans="1:1" ht="15" customHeight="1" x14ac:dyDescent="0.25">
      <c r="A2060"/>
    </row>
    <row r="2061" spans="1:1" ht="15" customHeight="1" x14ac:dyDescent="0.25">
      <c r="A2061"/>
    </row>
    <row r="2062" spans="1:1" ht="15" customHeight="1" x14ac:dyDescent="0.25">
      <c r="A2062"/>
    </row>
    <row r="2063" spans="1:1" ht="15" customHeight="1" x14ac:dyDescent="0.25">
      <c r="A2063"/>
    </row>
    <row r="2064" spans="1:1" ht="15" customHeight="1" x14ac:dyDescent="0.25">
      <c r="A2064"/>
    </row>
    <row r="2065" spans="1:1" ht="15" customHeight="1" x14ac:dyDescent="0.25">
      <c r="A2065"/>
    </row>
    <row r="2066" spans="1:1" ht="15" customHeight="1" x14ac:dyDescent="0.25">
      <c r="A2066"/>
    </row>
    <row r="2067" spans="1:1" ht="15" customHeight="1" x14ac:dyDescent="0.25">
      <c r="A2067"/>
    </row>
    <row r="2068" spans="1:1" ht="15" customHeight="1" x14ac:dyDescent="0.25">
      <c r="A2068"/>
    </row>
    <row r="2069" spans="1:1" ht="15" customHeight="1" x14ac:dyDescent="0.25">
      <c r="A2069"/>
    </row>
    <row r="2070" spans="1:1" ht="15" customHeight="1" x14ac:dyDescent="0.25">
      <c r="A2070"/>
    </row>
    <row r="2071" spans="1:1" ht="15" customHeight="1" x14ac:dyDescent="0.25">
      <c r="A2071"/>
    </row>
    <row r="2072" spans="1:1" ht="15" customHeight="1" x14ac:dyDescent="0.25">
      <c r="A2072"/>
    </row>
    <row r="2073" spans="1:1" ht="15" customHeight="1" x14ac:dyDescent="0.25">
      <c r="A2073"/>
    </row>
    <row r="2074" spans="1:1" ht="15" customHeight="1" x14ac:dyDescent="0.25">
      <c r="A2074"/>
    </row>
    <row r="2075" spans="1:1" ht="15" customHeight="1" x14ac:dyDescent="0.25">
      <c r="A2075"/>
    </row>
    <row r="2076" spans="1:1" ht="15" customHeight="1" x14ac:dyDescent="0.25">
      <c r="A2076"/>
    </row>
    <row r="2077" spans="1:1" ht="15" customHeight="1" x14ac:dyDescent="0.25">
      <c r="A2077"/>
    </row>
    <row r="2078" spans="1:1" ht="15" customHeight="1" x14ac:dyDescent="0.25">
      <c r="A2078"/>
    </row>
    <row r="2079" spans="1:1" ht="15" customHeight="1" x14ac:dyDescent="0.25">
      <c r="A2079"/>
    </row>
    <row r="2080" spans="1:1" ht="15" customHeight="1" x14ac:dyDescent="0.25">
      <c r="A2080"/>
    </row>
    <row r="2081" spans="1:1" ht="15" customHeight="1" x14ac:dyDescent="0.25">
      <c r="A2081"/>
    </row>
    <row r="2082" spans="1:1" ht="15" customHeight="1" x14ac:dyDescent="0.25">
      <c r="A2082"/>
    </row>
    <row r="2083" spans="1:1" ht="15" customHeight="1" x14ac:dyDescent="0.25">
      <c r="A2083"/>
    </row>
    <row r="2084" spans="1:1" ht="15" customHeight="1" x14ac:dyDescent="0.25">
      <c r="A2084"/>
    </row>
    <row r="2085" spans="1:1" ht="15" customHeight="1" x14ac:dyDescent="0.25">
      <c r="A2085"/>
    </row>
    <row r="2086" spans="1:1" ht="15" customHeight="1" x14ac:dyDescent="0.25">
      <c r="A2086"/>
    </row>
    <row r="2087" spans="1:1" ht="15" customHeight="1" x14ac:dyDescent="0.25">
      <c r="A2087"/>
    </row>
    <row r="2088" spans="1:1" ht="15" customHeight="1" x14ac:dyDescent="0.25">
      <c r="A2088"/>
    </row>
    <row r="2089" spans="1:1" ht="15" customHeight="1" x14ac:dyDescent="0.25">
      <c r="A2089"/>
    </row>
    <row r="2090" spans="1:1" ht="15" customHeight="1" x14ac:dyDescent="0.25">
      <c r="A2090"/>
    </row>
    <row r="2091" spans="1:1" ht="15" customHeight="1" x14ac:dyDescent="0.25">
      <c r="A2091"/>
    </row>
    <row r="2092" spans="1:1" ht="15" customHeight="1" x14ac:dyDescent="0.25">
      <c r="A2092"/>
    </row>
    <row r="2093" spans="1:1" ht="15" customHeight="1" x14ac:dyDescent="0.25">
      <c r="A2093"/>
    </row>
    <row r="2094" spans="1:1" ht="15" customHeight="1" x14ac:dyDescent="0.25">
      <c r="A2094"/>
    </row>
    <row r="2095" spans="1:1" ht="15" customHeight="1" x14ac:dyDescent="0.25">
      <c r="A2095"/>
    </row>
    <row r="2096" spans="1:1" ht="15" customHeight="1" x14ac:dyDescent="0.25">
      <c r="A2096"/>
    </row>
    <row r="2097" spans="1:1" ht="15" customHeight="1" x14ac:dyDescent="0.25">
      <c r="A2097"/>
    </row>
    <row r="2098" spans="1:1" ht="15" customHeight="1" x14ac:dyDescent="0.25">
      <c r="A2098"/>
    </row>
    <row r="2099" spans="1:1" ht="15" customHeight="1" x14ac:dyDescent="0.25">
      <c r="A2099"/>
    </row>
    <row r="2100" spans="1:1" ht="15" customHeight="1" x14ac:dyDescent="0.25">
      <c r="A2100"/>
    </row>
    <row r="2101" spans="1:1" ht="15" customHeight="1" x14ac:dyDescent="0.25">
      <c r="A2101"/>
    </row>
    <row r="2102" spans="1:1" ht="15" customHeight="1" x14ac:dyDescent="0.25">
      <c r="A2102"/>
    </row>
    <row r="2103" spans="1:1" ht="15" customHeight="1" x14ac:dyDescent="0.25">
      <c r="A2103"/>
    </row>
    <row r="2104" spans="1:1" ht="15" customHeight="1" x14ac:dyDescent="0.25">
      <c r="A2104"/>
    </row>
    <row r="2105" spans="1:1" ht="15" customHeight="1" x14ac:dyDescent="0.25">
      <c r="A2105"/>
    </row>
    <row r="2106" spans="1:1" ht="15" customHeight="1" x14ac:dyDescent="0.25">
      <c r="A2106"/>
    </row>
    <row r="2107" spans="1:1" ht="15" customHeight="1" x14ac:dyDescent="0.25">
      <c r="A2107"/>
    </row>
    <row r="2108" spans="1:1" ht="15" customHeight="1" x14ac:dyDescent="0.25">
      <c r="A2108"/>
    </row>
    <row r="2109" spans="1:1" ht="15" customHeight="1" x14ac:dyDescent="0.25">
      <c r="A2109"/>
    </row>
    <row r="2110" spans="1:1" ht="15" customHeight="1" x14ac:dyDescent="0.25">
      <c r="A2110"/>
    </row>
    <row r="2111" spans="1:1" ht="15" customHeight="1" x14ac:dyDescent="0.25">
      <c r="A2111"/>
    </row>
    <row r="2112" spans="1:1" ht="15" customHeight="1" x14ac:dyDescent="0.25">
      <c r="A2112"/>
    </row>
    <row r="2113" spans="1:1" ht="15" customHeight="1" x14ac:dyDescent="0.25">
      <c r="A2113"/>
    </row>
    <row r="2114" spans="1:1" ht="15" customHeight="1" x14ac:dyDescent="0.25">
      <c r="A2114"/>
    </row>
    <row r="2115" spans="1:1" ht="15" customHeight="1" x14ac:dyDescent="0.25">
      <c r="A2115"/>
    </row>
    <row r="2116" spans="1:1" ht="15" customHeight="1" x14ac:dyDescent="0.25">
      <c r="A2116"/>
    </row>
    <row r="2117" spans="1:1" ht="15" customHeight="1" x14ac:dyDescent="0.25">
      <c r="A2117"/>
    </row>
    <row r="2118" spans="1:1" ht="15" customHeight="1" x14ac:dyDescent="0.25">
      <c r="A2118"/>
    </row>
    <row r="2119" spans="1:1" ht="15" customHeight="1" x14ac:dyDescent="0.25">
      <c r="A2119"/>
    </row>
    <row r="2120" spans="1:1" ht="15" customHeight="1" x14ac:dyDescent="0.25">
      <c r="A2120"/>
    </row>
    <row r="2121" spans="1:1" ht="15" customHeight="1" x14ac:dyDescent="0.25">
      <c r="A2121"/>
    </row>
    <row r="2122" spans="1:1" ht="15" customHeight="1" x14ac:dyDescent="0.25">
      <c r="A2122"/>
    </row>
    <row r="2123" spans="1:1" ht="15" customHeight="1" x14ac:dyDescent="0.25">
      <c r="A2123"/>
    </row>
    <row r="2124" spans="1:1" ht="15" customHeight="1" x14ac:dyDescent="0.25">
      <c r="A2124"/>
    </row>
    <row r="2125" spans="1:1" ht="15" customHeight="1" x14ac:dyDescent="0.25">
      <c r="A2125"/>
    </row>
    <row r="2126" spans="1:1" ht="15" customHeight="1" x14ac:dyDescent="0.25">
      <c r="A2126"/>
    </row>
    <row r="2127" spans="1:1" ht="15" customHeight="1" x14ac:dyDescent="0.25">
      <c r="A2127"/>
    </row>
    <row r="2128" spans="1:1" ht="15" customHeight="1" x14ac:dyDescent="0.25">
      <c r="A2128"/>
    </row>
    <row r="2129" spans="1:1" ht="15" customHeight="1" x14ac:dyDescent="0.25">
      <c r="A2129"/>
    </row>
    <row r="2130" spans="1:1" ht="15" customHeight="1" x14ac:dyDescent="0.25">
      <c r="A2130"/>
    </row>
    <row r="2131" spans="1:1" ht="15" customHeight="1" x14ac:dyDescent="0.25">
      <c r="A2131"/>
    </row>
    <row r="2132" spans="1:1" ht="15" customHeight="1" x14ac:dyDescent="0.25">
      <c r="A2132"/>
    </row>
    <row r="2133" spans="1:1" ht="15" customHeight="1" x14ac:dyDescent="0.25">
      <c r="A2133"/>
    </row>
    <row r="2134" spans="1:1" ht="15" customHeight="1" x14ac:dyDescent="0.25">
      <c r="A2134"/>
    </row>
    <row r="2135" spans="1:1" ht="15" customHeight="1" x14ac:dyDescent="0.25">
      <c r="A2135"/>
    </row>
    <row r="2136" spans="1:1" ht="15" customHeight="1" x14ac:dyDescent="0.25">
      <c r="A2136"/>
    </row>
    <row r="2137" spans="1:1" ht="15" customHeight="1" x14ac:dyDescent="0.25">
      <c r="A2137"/>
    </row>
    <row r="2138" spans="1:1" ht="15" customHeight="1" x14ac:dyDescent="0.25">
      <c r="A2138"/>
    </row>
    <row r="2139" spans="1:1" ht="15" customHeight="1" x14ac:dyDescent="0.25">
      <c r="A2139"/>
    </row>
    <row r="2140" spans="1:1" ht="15" customHeight="1" x14ac:dyDescent="0.25">
      <c r="A2140"/>
    </row>
    <row r="2141" spans="1:1" ht="15" customHeight="1" x14ac:dyDescent="0.25">
      <c r="A2141"/>
    </row>
    <row r="2142" spans="1:1" ht="15" customHeight="1" x14ac:dyDescent="0.25">
      <c r="A2142"/>
    </row>
    <row r="2143" spans="1:1" ht="15" customHeight="1" x14ac:dyDescent="0.25">
      <c r="A2143"/>
    </row>
    <row r="2144" spans="1:1" ht="15" customHeight="1" x14ac:dyDescent="0.25">
      <c r="A2144"/>
    </row>
    <row r="2145" spans="1:1" ht="15" customHeight="1" x14ac:dyDescent="0.25">
      <c r="A2145"/>
    </row>
    <row r="2146" spans="1:1" ht="15" customHeight="1" x14ac:dyDescent="0.25">
      <c r="A2146"/>
    </row>
    <row r="2147" spans="1:1" ht="15" customHeight="1" x14ac:dyDescent="0.25">
      <c r="A2147"/>
    </row>
    <row r="2148" spans="1:1" ht="15" customHeight="1" x14ac:dyDescent="0.25">
      <c r="A2148"/>
    </row>
    <row r="2149" spans="1:1" ht="15" customHeight="1" x14ac:dyDescent="0.25">
      <c r="A2149"/>
    </row>
    <row r="2150" spans="1:1" ht="15" customHeight="1" x14ac:dyDescent="0.25">
      <c r="A2150"/>
    </row>
    <row r="2151" spans="1:1" ht="15" customHeight="1" x14ac:dyDescent="0.25">
      <c r="A2151"/>
    </row>
    <row r="2152" spans="1:1" ht="15" customHeight="1" x14ac:dyDescent="0.25">
      <c r="A2152"/>
    </row>
    <row r="2153" spans="1:1" ht="15" customHeight="1" x14ac:dyDescent="0.25">
      <c r="A2153"/>
    </row>
    <row r="2154" spans="1:1" ht="15" customHeight="1" x14ac:dyDescent="0.25">
      <c r="A2154"/>
    </row>
    <row r="2155" spans="1:1" ht="15" customHeight="1" x14ac:dyDescent="0.25">
      <c r="A2155"/>
    </row>
    <row r="2156" spans="1:1" ht="15" customHeight="1" x14ac:dyDescent="0.25">
      <c r="A2156"/>
    </row>
    <row r="2157" spans="1:1" ht="15" customHeight="1" x14ac:dyDescent="0.25">
      <c r="A2157"/>
    </row>
    <row r="2158" spans="1:1" ht="15" customHeight="1" x14ac:dyDescent="0.25">
      <c r="A2158"/>
    </row>
    <row r="2159" spans="1:1" ht="15" customHeight="1" x14ac:dyDescent="0.25">
      <c r="A2159"/>
    </row>
    <row r="2160" spans="1:1" ht="15" customHeight="1" x14ac:dyDescent="0.25">
      <c r="A2160"/>
    </row>
    <row r="2161" spans="1:1" ht="15" customHeight="1" x14ac:dyDescent="0.25">
      <c r="A2161"/>
    </row>
    <row r="2162" spans="1:1" ht="15" customHeight="1" x14ac:dyDescent="0.25">
      <c r="A2162"/>
    </row>
    <row r="2163" spans="1:1" ht="15" customHeight="1" x14ac:dyDescent="0.25">
      <c r="A2163"/>
    </row>
    <row r="2164" spans="1:1" ht="15" customHeight="1" x14ac:dyDescent="0.25">
      <c r="A2164"/>
    </row>
    <row r="2165" spans="1:1" ht="15" customHeight="1" x14ac:dyDescent="0.25">
      <c r="A2165"/>
    </row>
    <row r="2166" spans="1:1" ht="15" customHeight="1" x14ac:dyDescent="0.25">
      <c r="A2166"/>
    </row>
    <row r="2167" spans="1:1" ht="15" customHeight="1" x14ac:dyDescent="0.25">
      <c r="A2167"/>
    </row>
    <row r="2168" spans="1:1" ht="15" customHeight="1" x14ac:dyDescent="0.25">
      <c r="A2168"/>
    </row>
    <row r="2169" spans="1:1" ht="15" customHeight="1" x14ac:dyDescent="0.25">
      <c r="A2169"/>
    </row>
    <row r="2170" spans="1:1" ht="15" customHeight="1" x14ac:dyDescent="0.25">
      <c r="A2170"/>
    </row>
    <row r="2171" spans="1:1" ht="15" customHeight="1" x14ac:dyDescent="0.25">
      <c r="A2171"/>
    </row>
    <row r="2172" spans="1:1" ht="15" customHeight="1" x14ac:dyDescent="0.25">
      <c r="A2172"/>
    </row>
    <row r="2173" spans="1:1" ht="15" customHeight="1" x14ac:dyDescent="0.25">
      <c r="A2173"/>
    </row>
    <row r="2174" spans="1:1" ht="15" customHeight="1" x14ac:dyDescent="0.25">
      <c r="A2174"/>
    </row>
    <row r="2175" spans="1:1" ht="15" customHeight="1" x14ac:dyDescent="0.25">
      <c r="A2175"/>
    </row>
    <row r="2176" spans="1:1" ht="15" customHeight="1" x14ac:dyDescent="0.25">
      <c r="A2176"/>
    </row>
    <row r="2177" spans="1:1" ht="15" customHeight="1" x14ac:dyDescent="0.25">
      <c r="A2177"/>
    </row>
    <row r="2178" spans="1:1" ht="15" customHeight="1" x14ac:dyDescent="0.25">
      <c r="A2178"/>
    </row>
    <row r="2179" spans="1:1" ht="15" customHeight="1" x14ac:dyDescent="0.25">
      <c r="A2179"/>
    </row>
    <row r="2180" spans="1:1" ht="15" customHeight="1" x14ac:dyDescent="0.25">
      <c r="A2180"/>
    </row>
    <row r="2181" spans="1:1" ht="15" customHeight="1" x14ac:dyDescent="0.25">
      <c r="A2181"/>
    </row>
    <row r="2182" spans="1:1" ht="15" customHeight="1" x14ac:dyDescent="0.25">
      <c r="A2182"/>
    </row>
    <row r="2183" spans="1:1" ht="15" customHeight="1" x14ac:dyDescent="0.25">
      <c r="A2183"/>
    </row>
    <row r="2184" spans="1:1" ht="15" customHeight="1" x14ac:dyDescent="0.25">
      <c r="A2184"/>
    </row>
    <row r="2185" spans="1:1" ht="15" customHeight="1" x14ac:dyDescent="0.25">
      <c r="A2185"/>
    </row>
    <row r="2186" spans="1:1" ht="15" customHeight="1" x14ac:dyDescent="0.25">
      <c r="A2186"/>
    </row>
    <row r="2187" spans="1:1" ht="15" customHeight="1" x14ac:dyDescent="0.25">
      <c r="A2187"/>
    </row>
    <row r="2188" spans="1:1" ht="15" customHeight="1" x14ac:dyDescent="0.25">
      <c r="A2188"/>
    </row>
    <row r="2189" spans="1:1" ht="15" customHeight="1" x14ac:dyDescent="0.25">
      <c r="A2189"/>
    </row>
    <row r="2190" spans="1:1" ht="15" customHeight="1" x14ac:dyDescent="0.25">
      <c r="A2190"/>
    </row>
    <row r="2191" spans="1:1" ht="15" customHeight="1" x14ac:dyDescent="0.25">
      <c r="A2191"/>
    </row>
    <row r="2192" spans="1:1" ht="15" customHeight="1" x14ac:dyDescent="0.25">
      <c r="A2192"/>
    </row>
    <row r="2193" spans="1:1" ht="15" customHeight="1" x14ac:dyDescent="0.25">
      <c r="A2193"/>
    </row>
    <row r="2194" spans="1:1" ht="15" customHeight="1" x14ac:dyDescent="0.25">
      <c r="A2194"/>
    </row>
    <row r="2195" spans="1:1" ht="15" customHeight="1" x14ac:dyDescent="0.25">
      <c r="A2195"/>
    </row>
    <row r="2196" spans="1:1" ht="15" customHeight="1" x14ac:dyDescent="0.25">
      <c r="A2196"/>
    </row>
    <row r="2197" spans="1:1" ht="15" customHeight="1" x14ac:dyDescent="0.25">
      <c r="A2197"/>
    </row>
    <row r="2198" spans="1:1" ht="15" customHeight="1" x14ac:dyDescent="0.25">
      <c r="A2198"/>
    </row>
    <row r="2199" spans="1:1" ht="15" customHeight="1" x14ac:dyDescent="0.25">
      <c r="A2199"/>
    </row>
    <row r="2200" spans="1:1" ht="15" customHeight="1" x14ac:dyDescent="0.25">
      <c r="A2200"/>
    </row>
    <row r="2201" spans="1:1" ht="15" customHeight="1" x14ac:dyDescent="0.25">
      <c r="A2201"/>
    </row>
    <row r="2202" spans="1:1" ht="15" customHeight="1" x14ac:dyDescent="0.25">
      <c r="A2202"/>
    </row>
    <row r="2203" spans="1:1" ht="15" customHeight="1" x14ac:dyDescent="0.25">
      <c r="A2203"/>
    </row>
    <row r="2204" spans="1:1" ht="15" customHeight="1" x14ac:dyDescent="0.25">
      <c r="A2204"/>
    </row>
    <row r="2205" spans="1:1" ht="15" customHeight="1" x14ac:dyDescent="0.25">
      <c r="A2205"/>
    </row>
    <row r="2206" spans="1:1" ht="15" customHeight="1" x14ac:dyDescent="0.25">
      <c r="A2206"/>
    </row>
    <row r="2207" spans="1:1" ht="15" customHeight="1" x14ac:dyDescent="0.25">
      <c r="A2207"/>
    </row>
    <row r="2208" spans="1:1" ht="15" customHeight="1" x14ac:dyDescent="0.25">
      <c r="A2208"/>
    </row>
    <row r="2209" spans="1:1" ht="15" customHeight="1" x14ac:dyDescent="0.25">
      <c r="A2209"/>
    </row>
    <row r="2210" spans="1:1" ht="15" customHeight="1" x14ac:dyDescent="0.25">
      <c r="A2210"/>
    </row>
    <row r="2211" spans="1:1" ht="15" customHeight="1" x14ac:dyDescent="0.25">
      <c r="A2211"/>
    </row>
    <row r="2212" spans="1:1" ht="15" customHeight="1" x14ac:dyDescent="0.25">
      <c r="A2212"/>
    </row>
    <row r="2213" spans="1:1" ht="15" customHeight="1" x14ac:dyDescent="0.25">
      <c r="A2213"/>
    </row>
    <row r="2214" spans="1:1" ht="15" customHeight="1" x14ac:dyDescent="0.25">
      <c r="A2214"/>
    </row>
    <row r="2215" spans="1:1" ht="15" customHeight="1" x14ac:dyDescent="0.25">
      <c r="A2215"/>
    </row>
    <row r="2216" spans="1:1" ht="15" customHeight="1" x14ac:dyDescent="0.25">
      <c r="A2216"/>
    </row>
    <row r="2217" spans="1:1" ht="15" customHeight="1" x14ac:dyDescent="0.25">
      <c r="A2217"/>
    </row>
    <row r="2218" spans="1:1" ht="15" customHeight="1" x14ac:dyDescent="0.25">
      <c r="A2218"/>
    </row>
    <row r="2219" spans="1:1" ht="15" customHeight="1" x14ac:dyDescent="0.25">
      <c r="A2219"/>
    </row>
    <row r="2220" spans="1:1" ht="15" customHeight="1" x14ac:dyDescent="0.25">
      <c r="A2220"/>
    </row>
    <row r="2221" spans="1:1" ht="15" customHeight="1" x14ac:dyDescent="0.25">
      <c r="A2221"/>
    </row>
    <row r="2222" spans="1:1" ht="15" customHeight="1" x14ac:dyDescent="0.25">
      <c r="A2222"/>
    </row>
    <row r="2223" spans="1:1" ht="15" customHeight="1" x14ac:dyDescent="0.25">
      <c r="A2223"/>
    </row>
    <row r="2224" spans="1:1" ht="15" customHeight="1" x14ac:dyDescent="0.25">
      <c r="A2224"/>
    </row>
    <row r="2225" spans="1:1" ht="15" customHeight="1" x14ac:dyDescent="0.25">
      <c r="A2225"/>
    </row>
    <row r="2226" spans="1:1" ht="15" customHeight="1" x14ac:dyDescent="0.25">
      <c r="A2226"/>
    </row>
    <row r="2227" spans="1:1" ht="15" customHeight="1" x14ac:dyDescent="0.25">
      <c r="A2227"/>
    </row>
    <row r="2228" spans="1:1" ht="15" customHeight="1" x14ac:dyDescent="0.25">
      <c r="A2228"/>
    </row>
    <row r="2229" spans="1:1" ht="15" customHeight="1" x14ac:dyDescent="0.25">
      <c r="A2229"/>
    </row>
    <row r="2230" spans="1:1" ht="15" customHeight="1" x14ac:dyDescent="0.25">
      <c r="A2230"/>
    </row>
    <row r="2231" spans="1:1" ht="15" customHeight="1" x14ac:dyDescent="0.25">
      <c r="A2231"/>
    </row>
    <row r="2232" spans="1:1" ht="15" customHeight="1" x14ac:dyDescent="0.25">
      <c r="A2232"/>
    </row>
    <row r="2233" spans="1:1" ht="15" customHeight="1" x14ac:dyDescent="0.25">
      <c r="A2233"/>
    </row>
    <row r="2234" spans="1:1" ht="15" customHeight="1" x14ac:dyDescent="0.25">
      <c r="A2234"/>
    </row>
    <row r="2235" spans="1:1" ht="15" customHeight="1" x14ac:dyDescent="0.25">
      <c r="A2235"/>
    </row>
    <row r="2236" spans="1:1" ht="15" customHeight="1" x14ac:dyDescent="0.25">
      <c r="A2236"/>
    </row>
    <row r="2237" spans="1:1" ht="15" customHeight="1" x14ac:dyDescent="0.25">
      <c r="A2237"/>
    </row>
    <row r="2238" spans="1:1" ht="15" customHeight="1" x14ac:dyDescent="0.25">
      <c r="A2238"/>
    </row>
    <row r="2239" spans="1:1" ht="15" customHeight="1" x14ac:dyDescent="0.25">
      <c r="A2239"/>
    </row>
    <row r="2240" spans="1:1" ht="15" customHeight="1" x14ac:dyDescent="0.25">
      <c r="A2240"/>
    </row>
    <row r="2241" spans="1:1" ht="15" customHeight="1" x14ac:dyDescent="0.25">
      <c r="A2241"/>
    </row>
    <row r="2242" spans="1:1" ht="15" customHeight="1" x14ac:dyDescent="0.25">
      <c r="A2242"/>
    </row>
    <row r="2243" spans="1:1" ht="15" customHeight="1" x14ac:dyDescent="0.25">
      <c r="A2243"/>
    </row>
    <row r="2244" spans="1:1" ht="15" customHeight="1" x14ac:dyDescent="0.25">
      <c r="A2244"/>
    </row>
    <row r="2245" spans="1:1" ht="15" customHeight="1" x14ac:dyDescent="0.25">
      <c r="A2245"/>
    </row>
    <row r="2246" spans="1:1" ht="15" customHeight="1" x14ac:dyDescent="0.25">
      <c r="A2246"/>
    </row>
    <row r="2247" spans="1:1" ht="15" customHeight="1" x14ac:dyDescent="0.25">
      <c r="A2247"/>
    </row>
    <row r="2248" spans="1:1" ht="15" customHeight="1" x14ac:dyDescent="0.25">
      <c r="A2248"/>
    </row>
    <row r="2249" spans="1:1" ht="15" customHeight="1" x14ac:dyDescent="0.25">
      <c r="A2249"/>
    </row>
    <row r="2250" spans="1:1" ht="15" customHeight="1" x14ac:dyDescent="0.25">
      <c r="A2250"/>
    </row>
    <row r="2251" spans="1:1" ht="15" customHeight="1" x14ac:dyDescent="0.25">
      <c r="A2251"/>
    </row>
    <row r="2252" spans="1:1" ht="15" customHeight="1" x14ac:dyDescent="0.25">
      <c r="A2252"/>
    </row>
    <row r="2253" spans="1:1" ht="15" customHeight="1" x14ac:dyDescent="0.25">
      <c r="A2253"/>
    </row>
    <row r="2254" spans="1:1" ht="15" customHeight="1" x14ac:dyDescent="0.25">
      <c r="A2254"/>
    </row>
    <row r="2255" spans="1:1" ht="15" customHeight="1" x14ac:dyDescent="0.25">
      <c r="A2255"/>
    </row>
    <row r="2256" spans="1:1" ht="15" customHeight="1" x14ac:dyDescent="0.25">
      <c r="A2256"/>
    </row>
    <row r="2257" spans="1:1" ht="15" customHeight="1" x14ac:dyDescent="0.25">
      <c r="A2257"/>
    </row>
    <row r="2258" spans="1:1" ht="15" customHeight="1" x14ac:dyDescent="0.25">
      <c r="A2258"/>
    </row>
    <row r="2259" spans="1:1" ht="15" customHeight="1" x14ac:dyDescent="0.25">
      <c r="A2259"/>
    </row>
    <row r="2260" spans="1:1" ht="15" customHeight="1" x14ac:dyDescent="0.25">
      <c r="A2260"/>
    </row>
    <row r="2261" spans="1:1" ht="15" customHeight="1" x14ac:dyDescent="0.25">
      <c r="A2261"/>
    </row>
    <row r="2262" spans="1:1" ht="15" customHeight="1" x14ac:dyDescent="0.25">
      <c r="A2262"/>
    </row>
    <row r="2263" spans="1:1" ht="15" customHeight="1" x14ac:dyDescent="0.25">
      <c r="A2263"/>
    </row>
    <row r="2264" spans="1:1" ht="15" customHeight="1" x14ac:dyDescent="0.25">
      <c r="A2264"/>
    </row>
    <row r="2265" spans="1:1" ht="15" customHeight="1" x14ac:dyDescent="0.25">
      <c r="A2265"/>
    </row>
    <row r="2266" spans="1:1" ht="15" customHeight="1" x14ac:dyDescent="0.25">
      <c r="A2266"/>
    </row>
    <row r="2267" spans="1:1" ht="15" customHeight="1" x14ac:dyDescent="0.25">
      <c r="A2267"/>
    </row>
    <row r="2268" spans="1:1" ht="15" customHeight="1" x14ac:dyDescent="0.25">
      <c r="A2268"/>
    </row>
    <row r="2269" spans="1:1" ht="15" customHeight="1" x14ac:dyDescent="0.25">
      <c r="A2269"/>
    </row>
    <row r="2270" spans="1:1" ht="15" customHeight="1" x14ac:dyDescent="0.25">
      <c r="A2270"/>
    </row>
    <row r="2271" spans="1:1" ht="15" customHeight="1" x14ac:dyDescent="0.25">
      <c r="A2271"/>
    </row>
    <row r="2272" spans="1:1" ht="15" customHeight="1" x14ac:dyDescent="0.25">
      <c r="A2272"/>
    </row>
    <row r="2273" spans="1:1" ht="15" customHeight="1" x14ac:dyDescent="0.25">
      <c r="A2273"/>
    </row>
    <row r="2274" spans="1:1" ht="15" customHeight="1" x14ac:dyDescent="0.25">
      <c r="A2274"/>
    </row>
    <row r="2275" spans="1:1" ht="15" customHeight="1" x14ac:dyDescent="0.25">
      <c r="A2275"/>
    </row>
    <row r="2276" spans="1:1" ht="15" customHeight="1" x14ac:dyDescent="0.25">
      <c r="A2276"/>
    </row>
    <row r="2277" spans="1:1" ht="15" customHeight="1" x14ac:dyDescent="0.25">
      <c r="A2277"/>
    </row>
    <row r="2278" spans="1:1" ht="15" customHeight="1" x14ac:dyDescent="0.25">
      <c r="A2278"/>
    </row>
    <row r="2279" spans="1:1" ht="15" customHeight="1" x14ac:dyDescent="0.25">
      <c r="A2279"/>
    </row>
    <row r="2280" spans="1:1" ht="15" customHeight="1" x14ac:dyDescent="0.25">
      <c r="A2280"/>
    </row>
    <row r="2281" spans="1:1" ht="15" customHeight="1" x14ac:dyDescent="0.25">
      <c r="A2281"/>
    </row>
    <row r="2282" spans="1:1" ht="15" customHeight="1" x14ac:dyDescent="0.25">
      <c r="A2282"/>
    </row>
    <row r="2283" spans="1:1" ht="15" customHeight="1" x14ac:dyDescent="0.25">
      <c r="A2283"/>
    </row>
    <row r="2284" spans="1:1" ht="15" customHeight="1" x14ac:dyDescent="0.25">
      <c r="A2284"/>
    </row>
    <row r="2285" spans="1:1" ht="15" customHeight="1" x14ac:dyDescent="0.25">
      <c r="A2285"/>
    </row>
    <row r="2286" spans="1:1" ht="15" customHeight="1" x14ac:dyDescent="0.25">
      <c r="A2286"/>
    </row>
    <row r="2287" spans="1:1" ht="15" customHeight="1" x14ac:dyDescent="0.25">
      <c r="A2287"/>
    </row>
    <row r="2288" spans="1:1" ht="15" customHeight="1" x14ac:dyDescent="0.25">
      <c r="A2288"/>
    </row>
    <row r="2289" spans="1:1" ht="15" customHeight="1" x14ac:dyDescent="0.25">
      <c r="A2289"/>
    </row>
    <row r="2290" spans="1:1" ht="15" customHeight="1" x14ac:dyDescent="0.25">
      <c r="A2290"/>
    </row>
    <row r="2291" spans="1:1" ht="15" customHeight="1" x14ac:dyDescent="0.25">
      <c r="A2291"/>
    </row>
    <row r="2292" spans="1:1" ht="15" customHeight="1" x14ac:dyDescent="0.25">
      <c r="A2292"/>
    </row>
    <row r="2293" spans="1:1" ht="15" customHeight="1" x14ac:dyDescent="0.25">
      <c r="A2293"/>
    </row>
    <row r="2294" spans="1:1" ht="15" customHeight="1" x14ac:dyDescent="0.25">
      <c r="A2294"/>
    </row>
    <row r="2295" spans="1:1" ht="15" customHeight="1" x14ac:dyDescent="0.25">
      <c r="A2295"/>
    </row>
    <row r="2296" spans="1:1" ht="15" customHeight="1" x14ac:dyDescent="0.25">
      <c r="A2296"/>
    </row>
    <row r="2297" spans="1:1" ht="15" customHeight="1" x14ac:dyDescent="0.25">
      <c r="A2297"/>
    </row>
    <row r="2298" spans="1:1" ht="15" customHeight="1" x14ac:dyDescent="0.25">
      <c r="A2298"/>
    </row>
    <row r="2299" spans="1:1" ht="15" customHeight="1" x14ac:dyDescent="0.25">
      <c r="A2299"/>
    </row>
    <row r="2300" spans="1:1" ht="15" customHeight="1" x14ac:dyDescent="0.25">
      <c r="A2300"/>
    </row>
    <row r="2301" spans="1:1" ht="15" customHeight="1" x14ac:dyDescent="0.25">
      <c r="A2301"/>
    </row>
    <row r="2302" spans="1:1" ht="15" customHeight="1" x14ac:dyDescent="0.25">
      <c r="A2302"/>
    </row>
    <row r="2303" spans="1:1" ht="15" customHeight="1" x14ac:dyDescent="0.25">
      <c r="A2303"/>
    </row>
    <row r="2304" spans="1:1" ht="15" customHeight="1" x14ac:dyDescent="0.25">
      <c r="A2304"/>
    </row>
    <row r="2305" spans="1:1" ht="15" customHeight="1" x14ac:dyDescent="0.25">
      <c r="A2305"/>
    </row>
    <row r="2306" spans="1:1" ht="15" customHeight="1" x14ac:dyDescent="0.25">
      <c r="A2306"/>
    </row>
    <row r="2307" spans="1:1" ht="15" customHeight="1" x14ac:dyDescent="0.25">
      <c r="A2307"/>
    </row>
    <row r="2308" spans="1:1" ht="15" customHeight="1" x14ac:dyDescent="0.25">
      <c r="A2308"/>
    </row>
    <row r="2309" spans="1:1" ht="15" customHeight="1" x14ac:dyDescent="0.25">
      <c r="A2309"/>
    </row>
    <row r="2310" spans="1:1" ht="15" customHeight="1" x14ac:dyDescent="0.25">
      <c r="A2310"/>
    </row>
    <row r="2311" spans="1:1" ht="15" customHeight="1" x14ac:dyDescent="0.25">
      <c r="A2311"/>
    </row>
    <row r="2312" spans="1:1" ht="15" customHeight="1" x14ac:dyDescent="0.25">
      <c r="A2312"/>
    </row>
    <row r="2313" spans="1:1" ht="15" customHeight="1" x14ac:dyDescent="0.25">
      <c r="A2313"/>
    </row>
    <row r="2314" spans="1:1" ht="15" customHeight="1" x14ac:dyDescent="0.25">
      <c r="A2314"/>
    </row>
    <row r="2315" spans="1:1" ht="15" customHeight="1" x14ac:dyDescent="0.25">
      <c r="A2315"/>
    </row>
    <row r="2316" spans="1:1" ht="15" customHeight="1" x14ac:dyDescent="0.25">
      <c r="A2316"/>
    </row>
    <row r="2317" spans="1:1" ht="15" customHeight="1" x14ac:dyDescent="0.25">
      <c r="A2317"/>
    </row>
    <row r="2318" spans="1:1" ht="15" customHeight="1" x14ac:dyDescent="0.25">
      <c r="A2318"/>
    </row>
    <row r="2319" spans="1:1" ht="15" customHeight="1" x14ac:dyDescent="0.25">
      <c r="A2319"/>
    </row>
    <row r="2320" spans="1:1" ht="15" customHeight="1" x14ac:dyDescent="0.25">
      <c r="A2320"/>
    </row>
    <row r="2321" spans="1:1" ht="15" customHeight="1" x14ac:dyDescent="0.25">
      <c r="A2321"/>
    </row>
    <row r="2322" spans="1:1" ht="15" customHeight="1" x14ac:dyDescent="0.25">
      <c r="A2322"/>
    </row>
    <row r="2323" spans="1:1" ht="15" customHeight="1" x14ac:dyDescent="0.25">
      <c r="A2323"/>
    </row>
    <row r="2324" spans="1:1" ht="15" customHeight="1" x14ac:dyDescent="0.25">
      <c r="A2324"/>
    </row>
    <row r="2325" spans="1:1" ht="15" customHeight="1" x14ac:dyDescent="0.25">
      <c r="A2325"/>
    </row>
    <row r="2326" spans="1:1" ht="15" customHeight="1" x14ac:dyDescent="0.25">
      <c r="A2326"/>
    </row>
    <row r="2327" spans="1:1" ht="15" customHeight="1" x14ac:dyDescent="0.25">
      <c r="A2327"/>
    </row>
    <row r="2328" spans="1:1" ht="15" customHeight="1" x14ac:dyDescent="0.25">
      <c r="A2328"/>
    </row>
    <row r="2329" spans="1:1" ht="15" customHeight="1" x14ac:dyDescent="0.25">
      <c r="A2329"/>
    </row>
    <row r="2330" spans="1:1" ht="15" customHeight="1" x14ac:dyDescent="0.25">
      <c r="A2330"/>
    </row>
    <row r="2331" spans="1:1" ht="15" customHeight="1" x14ac:dyDescent="0.25">
      <c r="A2331"/>
    </row>
    <row r="2332" spans="1:1" ht="15" customHeight="1" x14ac:dyDescent="0.25">
      <c r="A2332"/>
    </row>
    <row r="2333" spans="1:1" ht="15" customHeight="1" x14ac:dyDescent="0.25">
      <c r="A2333"/>
    </row>
    <row r="2334" spans="1:1" ht="15" customHeight="1" x14ac:dyDescent="0.25">
      <c r="A2334"/>
    </row>
    <row r="2335" spans="1:1" ht="15" customHeight="1" x14ac:dyDescent="0.25">
      <c r="A2335"/>
    </row>
    <row r="2336" spans="1:1" ht="15" customHeight="1" x14ac:dyDescent="0.25">
      <c r="A2336"/>
    </row>
    <row r="2337" spans="1:1" ht="15" customHeight="1" x14ac:dyDescent="0.25">
      <c r="A2337"/>
    </row>
    <row r="2338" spans="1:1" ht="15" customHeight="1" x14ac:dyDescent="0.25">
      <c r="A2338"/>
    </row>
    <row r="2339" spans="1:1" ht="15" customHeight="1" x14ac:dyDescent="0.25">
      <c r="A2339"/>
    </row>
    <row r="2340" spans="1:1" ht="15" customHeight="1" x14ac:dyDescent="0.25">
      <c r="A2340"/>
    </row>
    <row r="2341" spans="1:1" ht="15" customHeight="1" x14ac:dyDescent="0.25">
      <c r="A2341"/>
    </row>
    <row r="2342" spans="1:1" ht="15" customHeight="1" x14ac:dyDescent="0.25">
      <c r="A2342"/>
    </row>
    <row r="2343" spans="1:1" ht="15" customHeight="1" x14ac:dyDescent="0.25">
      <c r="A2343"/>
    </row>
    <row r="2344" spans="1:1" ht="15" customHeight="1" x14ac:dyDescent="0.25">
      <c r="A2344"/>
    </row>
    <row r="2345" spans="1:1" ht="15" customHeight="1" x14ac:dyDescent="0.25">
      <c r="A2345"/>
    </row>
    <row r="2346" spans="1:1" ht="15" customHeight="1" x14ac:dyDescent="0.25">
      <c r="A2346"/>
    </row>
    <row r="2347" spans="1:1" ht="15" customHeight="1" x14ac:dyDescent="0.25">
      <c r="A2347"/>
    </row>
    <row r="2348" spans="1:1" ht="15" customHeight="1" x14ac:dyDescent="0.25">
      <c r="A2348"/>
    </row>
    <row r="2349" spans="1:1" ht="15" customHeight="1" x14ac:dyDescent="0.25">
      <c r="A2349"/>
    </row>
    <row r="2350" spans="1:1" ht="15" customHeight="1" x14ac:dyDescent="0.25">
      <c r="A2350"/>
    </row>
    <row r="2351" spans="1:1" ht="15" customHeight="1" x14ac:dyDescent="0.25">
      <c r="A2351"/>
    </row>
    <row r="2352" spans="1:1" ht="15" customHeight="1" x14ac:dyDescent="0.25">
      <c r="A2352"/>
    </row>
    <row r="2353" spans="1:1" ht="15" customHeight="1" x14ac:dyDescent="0.25">
      <c r="A2353"/>
    </row>
    <row r="2354" spans="1:1" ht="15" customHeight="1" x14ac:dyDescent="0.25">
      <c r="A2354"/>
    </row>
    <row r="2355" spans="1:1" ht="15" customHeight="1" x14ac:dyDescent="0.25">
      <c r="A2355"/>
    </row>
    <row r="2356" spans="1:1" ht="15" customHeight="1" x14ac:dyDescent="0.25">
      <c r="A2356"/>
    </row>
    <row r="2357" spans="1:1" ht="15" customHeight="1" x14ac:dyDescent="0.25">
      <c r="A2357"/>
    </row>
    <row r="2358" spans="1:1" ht="15" customHeight="1" x14ac:dyDescent="0.25">
      <c r="A2358"/>
    </row>
    <row r="2359" spans="1:1" ht="15" customHeight="1" x14ac:dyDescent="0.25">
      <c r="A2359"/>
    </row>
    <row r="2360" spans="1:1" ht="15" customHeight="1" x14ac:dyDescent="0.25">
      <c r="A2360"/>
    </row>
    <row r="2361" spans="1:1" ht="15" customHeight="1" x14ac:dyDescent="0.25">
      <c r="A2361"/>
    </row>
    <row r="2362" spans="1:1" ht="15" customHeight="1" x14ac:dyDescent="0.25">
      <c r="A2362"/>
    </row>
    <row r="2363" spans="1:1" ht="15" customHeight="1" x14ac:dyDescent="0.25">
      <c r="A2363"/>
    </row>
    <row r="2364" spans="1:1" ht="15" customHeight="1" x14ac:dyDescent="0.25">
      <c r="A2364"/>
    </row>
    <row r="2365" spans="1:1" ht="15" customHeight="1" x14ac:dyDescent="0.25">
      <c r="A2365"/>
    </row>
    <row r="2366" spans="1:1" ht="15" customHeight="1" x14ac:dyDescent="0.25">
      <c r="A2366"/>
    </row>
    <row r="2367" spans="1:1" ht="15" customHeight="1" x14ac:dyDescent="0.25">
      <c r="A2367"/>
    </row>
    <row r="2368" spans="1:1" ht="15" customHeight="1" x14ac:dyDescent="0.25">
      <c r="A2368"/>
    </row>
    <row r="2369" spans="1:1" ht="15" customHeight="1" x14ac:dyDescent="0.25">
      <c r="A2369"/>
    </row>
    <row r="2370" spans="1:1" ht="15" customHeight="1" x14ac:dyDescent="0.25">
      <c r="A2370"/>
    </row>
    <row r="2371" spans="1:1" ht="15" customHeight="1" x14ac:dyDescent="0.25">
      <c r="A2371"/>
    </row>
    <row r="2372" spans="1:1" ht="15" customHeight="1" x14ac:dyDescent="0.25">
      <c r="A2372"/>
    </row>
    <row r="2373" spans="1:1" ht="15" customHeight="1" x14ac:dyDescent="0.25">
      <c r="A2373"/>
    </row>
    <row r="2374" spans="1:1" ht="15" customHeight="1" x14ac:dyDescent="0.25">
      <c r="A2374"/>
    </row>
    <row r="2375" spans="1:1" ht="15" customHeight="1" x14ac:dyDescent="0.25">
      <c r="A2375"/>
    </row>
    <row r="2376" spans="1:1" ht="15" customHeight="1" x14ac:dyDescent="0.25">
      <c r="A2376"/>
    </row>
    <row r="2377" spans="1:1" ht="15" customHeight="1" x14ac:dyDescent="0.25">
      <c r="A2377"/>
    </row>
    <row r="2378" spans="1:1" ht="15" customHeight="1" x14ac:dyDescent="0.25">
      <c r="A2378"/>
    </row>
    <row r="2379" spans="1:1" ht="15" customHeight="1" x14ac:dyDescent="0.25">
      <c r="A2379"/>
    </row>
    <row r="2380" spans="1:1" ht="15" customHeight="1" x14ac:dyDescent="0.25">
      <c r="A2380"/>
    </row>
    <row r="2381" spans="1:1" ht="15" customHeight="1" x14ac:dyDescent="0.25">
      <c r="A2381"/>
    </row>
    <row r="2382" spans="1:1" ht="15" customHeight="1" x14ac:dyDescent="0.25">
      <c r="A2382"/>
    </row>
    <row r="2383" spans="1:1" ht="15" customHeight="1" x14ac:dyDescent="0.25">
      <c r="A2383"/>
    </row>
    <row r="2384" spans="1:1" ht="15" customHeight="1" x14ac:dyDescent="0.25">
      <c r="A2384"/>
    </row>
    <row r="2385" spans="1:1" ht="15" customHeight="1" x14ac:dyDescent="0.25">
      <c r="A2385"/>
    </row>
    <row r="2386" spans="1:1" ht="15" customHeight="1" x14ac:dyDescent="0.25">
      <c r="A2386"/>
    </row>
    <row r="2387" spans="1:1" ht="15" customHeight="1" x14ac:dyDescent="0.25">
      <c r="A2387"/>
    </row>
    <row r="2388" spans="1:1" ht="15" customHeight="1" x14ac:dyDescent="0.25">
      <c r="A2388"/>
    </row>
    <row r="2389" spans="1:1" ht="15" customHeight="1" x14ac:dyDescent="0.25">
      <c r="A2389"/>
    </row>
    <row r="2390" spans="1:1" ht="15" customHeight="1" x14ac:dyDescent="0.25">
      <c r="A2390"/>
    </row>
    <row r="2391" spans="1:1" ht="15" customHeight="1" x14ac:dyDescent="0.25">
      <c r="A2391"/>
    </row>
    <row r="2392" spans="1:1" ht="15" customHeight="1" x14ac:dyDescent="0.25">
      <c r="A2392"/>
    </row>
    <row r="2393" spans="1:1" ht="15" customHeight="1" x14ac:dyDescent="0.25">
      <c r="A2393"/>
    </row>
    <row r="2394" spans="1:1" ht="15" customHeight="1" x14ac:dyDescent="0.25">
      <c r="A2394"/>
    </row>
    <row r="2395" spans="1:1" ht="15" customHeight="1" x14ac:dyDescent="0.25">
      <c r="A2395"/>
    </row>
    <row r="2396" spans="1:1" ht="15" customHeight="1" x14ac:dyDescent="0.25">
      <c r="A2396"/>
    </row>
    <row r="2397" spans="1:1" ht="15" customHeight="1" x14ac:dyDescent="0.25">
      <c r="A2397"/>
    </row>
    <row r="2398" spans="1:1" ht="15" customHeight="1" x14ac:dyDescent="0.25">
      <c r="A2398"/>
    </row>
    <row r="2399" spans="1:1" ht="15" customHeight="1" x14ac:dyDescent="0.25">
      <c r="A2399"/>
    </row>
    <row r="2400" spans="1:1" ht="15" customHeight="1" x14ac:dyDescent="0.25">
      <c r="A2400"/>
    </row>
    <row r="2401" spans="1:1" ht="15" customHeight="1" x14ac:dyDescent="0.25">
      <c r="A2401"/>
    </row>
    <row r="2402" spans="1:1" ht="15" customHeight="1" x14ac:dyDescent="0.25">
      <c r="A2402"/>
    </row>
    <row r="2403" spans="1:1" ht="15" customHeight="1" x14ac:dyDescent="0.25">
      <c r="A2403"/>
    </row>
    <row r="2404" spans="1:1" ht="15" customHeight="1" x14ac:dyDescent="0.25">
      <c r="A2404"/>
    </row>
    <row r="2405" spans="1:1" ht="15" customHeight="1" x14ac:dyDescent="0.25">
      <c r="A2405"/>
    </row>
    <row r="2406" spans="1:1" ht="15" customHeight="1" x14ac:dyDescent="0.25">
      <c r="A2406"/>
    </row>
    <row r="2407" spans="1:1" ht="15" customHeight="1" x14ac:dyDescent="0.25">
      <c r="A2407"/>
    </row>
    <row r="2408" spans="1:1" ht="15" customHeight="1" x14ac:dyDescent="0.25">
      <c r="A2408"/>
    </row>
    <row r="2409" spans="1:1" ht="15" customHeight="1" x14ac:dyDescent="0.25">
      <c r="A2409"/>
    </row>
    <row r="2410" spans="1:1" ht="15" customHeight="1" x14ac:dyDescent="0.25">
      <c r="A2410"/>
    </row>
    <row r="2411" spans="1:1" ht="15" customHeight="1" x14ac:dyDescent="0.25">
      <c r="A2411"/>
    </row>
    <row r="2412" spans="1:1" ht="15" customHeight="1" x14ac:dyDescent="0.25">
      <c r="A2412"/>
    </row>
    <row r="2413" spans="1:1" ht="15" customHeight="1" x14ac:dyDescent="0.25">
      <c r="A2413"/>
    </row>
    <row r="2414" spans="1:1" ht="15" customHeight="1" x14ac:dyDescent="0.25">
      <c r="A2414"/>
    </row>
    <row r="2415" spans="1:1" ht="15" customHeight="1" x14ac:dyDescent="0.25">
      <c r="A2415"/>
    </row>
    <row r="2416" spans="1:1" ht="15" customHeight="1" x14ac:dyDescent="0.25">
      <c r="A2416"/>
    </row>
    <row r="2417" spans="1:1" ht="15" customHeight="1" x14ac:dyDescent="0.25">
      <c r="A2417"/>
    </row>
    <row r="2418" spans="1:1" ht="15" customHeight="1" x14ac:dyDescent="0.25">
      <c r="A2418"/>
    </row>
    <row r="2419" spans="1:1" ht="15" customHeight="1" x14ac:dyDescent="0.25">
      <c r="A2419"/>
    </row>
    <row r="2420" spans="1:1" ht="15" customHeight="1" x14ac:dyDescent="0.25">
      <c r="A2420"/>
    </row>
    <row r="2421" spans="1:1" ht="15" customHeight="1" x14ac:dyDescent="0.25">
      <c r="A2421"/>
    </row>
    <row r="2422" spans="1:1" ht="15" customHeight="1" x14ac:dyDescent="0.25">
      <c r="A2422"/>
    </row>
    <row r="2423" spans="1:1" ht="15" customHeight="1" x14ac:dyDescent="0.25">
      <c r="A2423"/>
    </row>
    <row r="2424" spans="1:1" ht="15" customHeight="1" x14ac:dyDescent="0.25">
      <c r="A2424"/>
    </row>
    <row r="2425" spans="1:1" ht="15" customHeight="1" x14ac:dyDescent="0.25">
      <c r="A2425"/>
    </row>
    <row r="2426" spans="1:1" ht="15" customHeight="1" x14ac:dyDescent="0.25">
      <c r="A2426"/>
    </row>
    <row r="2427" spans="1:1" ht="15" customHeight="1" x14ac:dyDescent="0.25">
      <c r="A2427"/>
    </row>
    <row r="2428" spans="1:1" ht="15" customHeight="1" x14ac:dyDescent="0.25">
      <c r="A2428"/>
    </row>
    <row r="2429" spans="1:1" ht="15" customHeight="1" x14ac:dyDescent="0.25">
      <c r="A2429"/>
    </row>
    <row r="2430" spans="1:1" ht="15" customHeight="1" x14ac:dyDescent="0.25">
      <c r="A2430"/>
    </row>
    <row r="2431" spans="1:1" ht="15" customHeight="1" x14ac:dyDescent="0.25">
      <c r="A2431"/>
    </row>
    <row r="2432" spans="1:1" ht="15" customHeight="1" x14ac:dyDescent="0.25">
      <c r="A2432"/>
    </row>
    <row r="2433" spans="1:1" ht="15" customHeight="1" x14ac:dyDescent="0.25">
      <c r="A2433"/>
    </row>
    <row r="2434" spans="1:1" ht="15" customHeight="1" x14ac:dyDescent="0.25">
      <c r="A2434"/>
    </row>
    <row r="2435" spans="1:1" ht="15" customHeight="1" x14ac:dyDescent="0.25">
      <c r="A2435"/>
    </row>
    <row r="2436" spans="1:1" ht="15" customHeight="1" x14ac:dyDescent="0.25">
      <c r="A2436"/>
    </row>
    <row r="2437" spans="1:1" ht="15" customHeight="1" x14ac:dyDescent="0.25">
      <c r="A2437"/>
    </row>
    <row r="2438" spans="1:1" ht="15" customHeight="1" x14ac:dyDescent="0.25">
      <c r="A2438"/>
    </row>
    <row r="2439" spans="1:1" ht="15" customHeight="1" x14ac:dyDescent="0.25">
      <c r="A2439"/>
    </row>
    <row r="2440" spans="1:1" ht="15" customHeight="1" x14ac:dyDescent="0.25">
      <c r="A2440"/>
    </row>
    <row r="2441" spans="1:1" ht="15" customHeight="1" x14ac:dyDescent="0.25">
      <c r="A2441"/>
    </row>
    <row r="2442" spans="1:1" ht="15" customHeight="1" x14ac:dyDescent="0.25">
      <c r="A2442"/>
    </row>
    <row r="2443" spans="1:1" ht="15" customHeight="1" x14ac:dyDescent="0.25">
      <c r="A2443"/>
    </row>
    <row r="2444" spans="1:1" ht="15" customHeight="1" x14ac:dyDescent="0.25">
      <c r="A2444"/>
    </row>
    <row r="2445" spans="1:1" ht="15" customHeight="1" x14ac:dyDescent="0.25">
      <c r="A2445"/>
    </row>
    <row r="2446" spans="1:1" ht="15" customHeight="1" x14ac:dyDescent="0.25">
      <c r="A2446"/>
    </row>
    <row r="2447" spans="1:1" ht="15" customHeight="1" x14ac:dyDescent="0.25">
      <c r="A2447"/>
    </row>
    <row r="2448" spans="1:1" ht="15" customHeight="1" x14ac:dyDescent="0.25">
      <c r="A2448"/>
    </row>
    <row r="2449" spans="1:1" ht="15" customHeight="1" x14ac:dyDescent="0.25">
      <c r="A2449"/>
    </row>
    <row r="2450" spans="1:1" ht="15" customHeight="1" x14ac:dyDescent="0.25">
      <c r="A2450"/>
    </row>
    <row r="2451" spans="1:1" ht="15" customHeight="1" x14ac:dyDescent="0.25">
      <c r="A2451"/>
    </row>
    <row r="2452" spans="1:1" ht="15" customHeight="1" x14ac:dyDescent="0.25">
      <c r="A2452"/>
    </row>
    <row r="2453" spans="1:1" ht="15" customHeight="1" x14ac:dyDescent="0.25">
      <c r="A2453"/>
    </row>
    <row r="2454" spans="1:1" ht="15" customHeight="1" x14ac:dyDescent="0.25">
      <c r="A2454"/>
    </row>
    <row r="2455" spans="1:1" ht="15" customHeight="1" x14ac:dyDescent="0.25">
      <c r="A2455"/>
    </row>
    <row r="2456" spans="1:1" ht="15" customHeight="1" x14ac:dyDescent="0.25">
      <c r="A2456"/>
    </row>
    <row r="2457" spans="1:1" ht="15" customHeight="1" x14ac:dyDescent="0.25">
      <c r="A2457"/>
    </row>
    <row r="2458" spans="1:1" ht="15" customHeight="1" x14ac:dyDescent="0.25">
      <c r="A2458"/>
    </row>
    <row r="2459" spans="1:1" ht="15" customHeight="1" x14ac:dyDescent="0.25">
      <c r="A2459"/>
    </row>
    <row r="2460" spans="1:1" ht="15" customHeight="1" x14ac:dyDescent="0.25">
      <c r="A2460"/>
    </row>
    <row r="2461" spans="1:1" ht="15" customHeight="1" x14ac:dyDescent="0.25">
      <c r="A2461"/>
    </row>
    <row r="2462" spans="1:1" ht="15" customHeight="1" x14ac:dyDescent="0.25">
      <c r="A2462"/>
    </row>
    <row r="2463" spans="1:1" ht="15" customHeight="1" x14ac:dyDescent="0.25">
      <c r="A2463"/>
    </row>
    <row r="2464" spans="1:1" ht="15" customHeight="1" x14ac:dyDescent="0.25">
      <c r="A2464"/>
    </row>
    <row r="2465" spans="1:1" ht="15" customHeight="1" x14ac:dyDescent="0.25">
      <c r="A2465"/>
    </row>
    <row r="2466" spans="1:1" ht="15" customHeight="1" x14ac:dyDescent="0.25">
      <c r="A2466"/>
    </row>
    <row r="2467" spans="1:1" ht="15" customHeight="1" x14ac:dyDescent="0.25">
      <c r="A2467"/>
    </row>
    <row r="2468" spans="1:1" ht="15" customHeight="1" x14ac:dyDescent="0.25">
      <c r="A2468"/>
    </row>
    <row r="2469" spans="1:1" ht="15" customHeight="1" x14ac:dyDescent="0.25">
      <c r="A2469"/>
    </row>
    <row r="2470" spans="1:1" ht="15" customHeight="1" x14ac:dyDescent="0.25">
      <c r="A2470"/>
    </row>
    <row r="2471" spans="1:1" ht="15" customHeight="1" x14ac:dyDescent="0.25">
      <c r="A2471"/>
    </row>
    <row r="2472" spans="1:1" ht="15" customHeight="1" x14ac:dyDescent="0.25">
      <c r="A2472"/>
    </row>
    <row r="2473" spans="1:1" ht="15" customHeight="1" x14ac:dyDescent="0.25">
      <c r="A2473"/>
    </row>
    <row r="2474" spans="1:1" ht="15" customHeight="1" x14ac:dyDescent="0.25">
      <c r="A2474"/>
    </row>
    <row r="2475" spans="1:1" ht="15" customHeight="1" x14ac:dyDescent="0.25">
      <c r="A2475"/>
    </row>
    <row r="2476" spans="1:1" ht="15" customHeight="1" x14ac:dyDescent="0.25">
      <c r="A2476"/>
    </row>
    <row r="2477" spans="1:1" ht="15" customHeight="1" x14ac:dyDescent="0.25">
      <c r="A2477"/>
    </row>
    <row r="2478" spans="1:1" ht="15" customHeight="1" x14ac:dyDescent="0.25">
      <c r="A2478"/>
    </row>
    <row r="2479" spans="1:1" ht="15" customHeight="1" x14ac:dyDescent="0.25">
      <c r="A2479"/>
    </row>
    <row r="2480" spans="1:1" ht="15" customHeight="1" x14ac:dyDescent="0.25">
      <c r="A2480"/>
    </row>
    <row r="2481" spans="1:1" ht="15" customHeight="1" x14ac:dyDescent="0.25">
      <c r="A2481"/>
    </row>
    <row r="2482" spans="1:1" ht="15" customHeight="1" x14ac:dyDescent="0.25">
      <c r="A2482"/>
    </row>
    <row r="2483" spans="1:1" ht="15" customHeight="1" x14ac:dyDescent="0.25">
      <c r="A2483"/>
    </row>
    <row r="2484" spans="1:1" ht="15" customHeight="1" x14ac:dyDescent="0.25">
      <c r="A2484"/>
    </row>
    <row r="2485" spans="1:1" ht="15" customHeight="1" x14ac:dyDescent="0.25">
      <c r="A2485"/>
    </row>
    <row r="2486" spans="1:1" ht="15" customHeight="1" x14ac:dyDescent="0.25">
      <c r="A2486"/>
    </row>
    <row r="2487" spans="1:1" ht="15" customHeight="1" x14ac:dyDescent="0.25">
      <c r="A2487"/>
    </row>
    <row r="2488" spans="1:1" ht="15" customHeight="1" x14ac:dyDescent="0.25">
      <c r="A2488"/>
    </row>
    <row r="2489" spans="1:1" ht="15" customHeight="1" x14ac:dyDescent="0.25">
      <c r="A2489"/>
    </row>
    <row r="2490" spans="1:1" ht="15" customHeight="1" x14ac:dyDescent="0.25">
      <c r="A2490"/>
    </row>
    <row r="2491" spans="1:1" ht="15" customHeight="1" x14ac:dyDescent="0.25">
      <c r="A2491"/>
    </row>
    <row r="2492" spans="1:1" ht="15" customHeight="1" x14ac:dyDescent="0.25">
      <c r="A2492"/>
    </row>
    <row r="2493" spans="1:1" ht="15" customHeight="1" x14ac:dyDescent="0.25">
      <c r="A2493"/>
    </row>
    <row r="2494" spans="1:1" ht="15" customHeight="1" x14ac:dyDescent="0.25">
      <c r="A2494"/>
    </row>
    <row r="2495" spans="1:1" ht="15" customHeight="1" x14ac:dyDescent="0.25">
      <c r="A2495"/>
    </row>
    <row r="2496" spans="1:1" ht="15" customHeight="1" x14ac:dyDescent="0.25">
      <c r="A2496"/>
    </row>
    <row r="2497" spans="1:1" ht="15" customHeight="1" x14ac:dyDescent="0.25">
      <c r="A2497"/>
    </row>
    <row r="2498" spans="1:1" ht="15" customHeight="1" x14ac:dyDescent="0.25">
      <c r="A2498"/>
    </row>
    <row r="2499" spans="1:1" ht="15" customHeight="1" x14ac:dyDescent="0.25">
      <c r="A2499"/>
    </row>
    <row r="2500" spans="1:1" ht="15" customHeight="1" x14ac:dyDescent="0.25">
      <c r="A2500"/>
    </row>
    <row r="2501" spans="1:1" ht="15" customHeight="1" x14ac:dyDescent="0.25">
      <c r="A2501"/>
    </row>
    <row r="2502" spans="1:1" ht="15" customHeight="1" x14ac:dyDescent="0.25">
      <c r="A2502"/>
    </row>
    <row r="2503" spans="1:1" ht="15" customHeight="1" x14ac:dyDescent="0.25">
      <c r="A2503"/>
    </row>
    <row r="2504" spans="1:1" ht="15" customHeight="1" x14ac:dyDescent="0.25">
      <c r="A2504"/>
    </row>
    <row r="2505" spans="1:1" ht="15" customHeight="1" x14ac:dyDescent="0.25">
      <c r="A2505"/>
    </row>
    <row r="2506" spans="1:1" ht="15" customHeight="1" x14ac:dyDescent="0.25">
      <c r="A2506"/>
    </row>
    <row r="2507" spans="1:1" ht="15" customHeight="1" x14ac:dyDescent="0.25">
      <c r="A2507"/>
    </row>
    <row r="2508" spans="1:1" ht="15" customHeight="1" x14ac:dyDescent="0.25">
      <c r="A2508"/>
    </row>
    <row r="2509" spans="1:1" ht="15" customHeight="1" x14ac:dyDescent="0.25">
      <c r="A2509"/>
    </row>
    <row r="2510" spans="1:1" ht="15" customHeight="1" x14ac:dyDescent="0.25">
      <c r="A2510"/>
    </row>
    <row r="2511" spans="1:1" ht="15" customHeight="1" x14ac:dyDescent="0.25">
      <c r="A2511"/>
    </row>
    <row r="2512" spans="1:1" ht="15" customHeight="1" x14ac:dyDescent="0.25">
      <c r="A2512"/>
    </row>
    <row r="2513" spans="1:1" ht="15" customHeight="1" x14ac:dyDescent="0.25">
      <c r="A2513"/>
    </row>
    <row r="2514" spans="1:1" ht="15" customHeight="1" x14ac:dyDescent="0.25">
      <c r="A2514"/>
    </row>
    <row r="2515" spans="1:1" ht="15" customHeight="1" x14ac:dyDescent="0.25">
      <c r="A2515"/>
    </row>
    <row r="2516" spans="1:1" ht="15" customHeight="1" x14ac:dyDescent="0.25">
      <c r="A2516"/>
    </row>
    <row r="2517" spans="1:1" ht="15" customHeight="1" x14ac:dyDescent="0.25">
      <c r="A2517"/>
    </row>
    <row r="2518" spans="1:1" ht="15" customHeight="1" x14ac:dyDescent="0.25">
      <c r="A2518"/>
    </row>
    <row r="2519" spans="1:1" ht="15" customHeight="1" x14ac:dyDescent="0.25">
      <c r="A2519"/>
    </row>
    <row r="2520" spans="1:1" ht="15" customHeight="1" x14ac:dyDescent="0.25">
      <c r="A2520"/>
    </row>
    <row r="2521" spans="1:1" ht="15" customHeight="1" x14ac:dyDescent="0.25">
      <c r="A2521"/>
    </row>
    <row r="2522" spans="1:1" ht="15" customHeight="1" x14ac:dyDescent="0.25">
      <c r="A2522"/>
    </row>
    <row r="2523" spans="1:1" ht="15" customHeight="1" x14ac:dyDescent="0.25">
      <c r="A2523"/>
    </row>
    <row r="2524" spans="1:1" ht="15" customHeight="1" x14ac:dyDescent="0.25">
      <c r="A2524"/>
    </row>
    <row r="2525" spans="1:1" ht="15" customHeight="1" x14ac:dyDescent="0.25">
      <c r="A2525"/>
    </row>
    <row r="2526" spans="1:1" ht="15" customHeight="1" x14ac:dyDescent="0.25">
      <c r="A2526"/>
    </row>
    <row r="2527" spans="1:1" ht="15" customHeight="1" x14ac:dyDescent="0.25">
      <c r="A2527"/>
    </row>
    <row r="2528" spans="1:1" ht="15" customHeight="1" x14ac:dyDescent="0.25">
      <c r="A2528"/>
    </row>
    <row r="2529" spans="1:1" ht="15" customHeight="1" x14ac:dyDescent="0.25">
      <c r="A2529"/>
    </row>
    <row r="2530" spans="1:1" ht="15" customHeight="1" x14ac:dyDescent="0.25">
      <c r="A2530"/>
    </row>
    <row r="2531" spans="1:1" ht="15" customHeight="1" x14ac:dyDescent="0.25">
      <c r="A2531"/>
    </row>
    <row r="2532" spans="1:1" ht="15" customHeight="1" x14ac:dyDescent="0.25">
      <c r="A2532"/>
    </row>
    <row r="2533" spans="1:1" ht="15" customHeight="1" x14ac:dyDescent="0.25">
      <c r="A2533"/>
    </row>
    <row r="2534" spans="1:1" ht="15" customHeight="1" x14ac:dyDescent="0.25">
      <c r="A2534"/>
    </row>
    <row r="2535" spans="1:1" ht="15" customHeight="1" x14ac:dyDescent="0.25">
      <c r="A2535"/>
    </row>
    <row r="2536" spans="1:1" ht="15" customHeight="1" x14ac:dyDescent="0.25">
      <c r="A2536"/>
    </row>
    <row r="2537" spans="1:1" ht="15" customHeight="1" x14ac:dyDescent="0.25">
      <c r="A2537"/>
    </row>
    <row r="2538" spans="1:1" ht="15" customHeight="1" x14ac:dyDescent="0.25">
      <c r="A2538"/>
    </row>
    <row r="2539" spans="1:1" ht="15" customHeight="1" x14ac:dyDescent="0.25">
      <c r="A2539"/>
    </row>
    <row r="2540" spans="1:1" ht="15" customHeight="1" x14ac:dyDescent="0.25">
      <c r="A2540"/>
    </row>
    <row r="2541" spans="1:1" ht="15" customHeight="1" x14ac:dyDescent="0.25">
      <c r="A2541"/>
    </row>
    <row r="2542" spans="1:1" ht="15" customHeight="1" x14ac:dyDescent="0.25">
      <c r="A2542"/>
    </row>
    <row r="2543" spans="1:1" ht="15" customHeight="1" x14ac:dyDescent="0.25">
      <c r="A2543"/>
    </row>
    <row r="2544" spans="1:1" ht="15" customHeight="1" x14ac:dyDescent="0.25">
      <c r="A2544"/>
    </row>
    <row r="2545" spans="1:1" ht="15" customHeight="1" x14ac:dyDescent="0.25">
      <c r="A2545"/>
    </row>
    <row r="2546" spans="1:1" ht="15" customHeight="1" x14ac:dyDescent="0.25">
      <c r="A2546"/>
    </row>
    <row r="2547" spans="1:1" ht="15" customHeight="1" x14ac:dyDescent="0.25">
      <c r="A2547"/>
    </row>
    <row r="2548" spans="1:1" ht="15" customHeight="1" x14ac:dyDescent="0.25">
      <c r="A2548"/>
    </row>
    <row r="2549" spans="1:1" ht="15" customHeight="1" x14ac:dyDescent="0.25">
      <c r="A2549"/>
    </row>
    <row r="2550" spans="1:1" ht="15" customHeight="1" x14ac:dyDescent="0.25">
      <c r="A2550"/>
    </row>
    <row r="2551" spans="1:1" ht="15" customHeight="1" x14ac:dyDescent="0.25">
      <c r="A2551"/>
    </row>
    <row r="2552" spans="1:1" ht="15" customHeight="1" x14ac:dyDescent="0.25">
      <c r="A2552"/>
    </row>
    <row r="2553" spans="1:1" ht="15" customHeight="1" x14ac:dyDescent="0.25">
      <c r="A2553"/>
    </row>
    <row r="2554" spans="1:1" ht="15" customHeight="1" x14ac:dyDescent="0.25">
      <c r="A2554"/>
    </row>
    <row r="2555" spans="1:1" ht="15" customHeight="1" x14ac:dyDescent="0.25">
      <c r="A2555"/>
    </row>
    <row r="2556" spans="1:1" ht="15" customHeight="1" x14ac:dyDescent="0.25">
      <c r="A2556"/>
    </row>
    <row r="2557" spans="1:1" ht="15" customHeight="1" x14ac:dyDescent="0.25">
      <c r="A2557"/>
    </row>
    <row r="2558" spans="1:1" ht="15" customHeight="1" x14ac:dyDescent="0.25">
      <c r="A2558"/>
    </row>
    <row r="2559" spans="1:1" ht="15" customHeight="1" x14ac:dyDescent="0.25">
      <c r="A2559"/>
    </row>
    <row r="2560" spans="1:1" ht="15" customHeight="1" x14ac:dyDescent="0.25">
      <c r="A2560"/>
    </row>
    <row r="2561" spans="1:1" ht="15" customHeight="1" x14ac:dyDescent="0.25">
      <c r="A2561"/>
    </row>
    <row r="2562" spans="1:1" ht="15" customHeight="1" x14ac:dyDescent="0.25">
      <c r="A2562"/>
    </row>
    <row r="2563" spans="1:1" ht="15" customHeight="1" x14ac:dyDescent="0.25">
      <c r="A2563"/>
    </row>
    <row r="2564" spans="1:1" ht="15" customHeight="1" x14ac:dyDescent="0.25">
      <c r="A2564"/>
    </row>
    <row r="2565" spans="1:1" ht="15" customHeight="1" x14ac:dyDescent="0.25">
      <c r="A2565"/>
    </row>
    <row r="2566" spans="1:1" ht="15" customHeight="1" x14ac:dyDescent="0.25">
      <c r="A2566"/>
    </row>
    <row r="2567" spans="1:1" ht="15" customHeight="1" x14ac:dyDescent="0.25">
      <c r="A2567"/>
    </row>
    <row r="2568" spans="1:1" ht="15" customHeight="1" x14ac:dyDescent="0.25">
      <c r="A2568"/>
    </row>
    <row r="2569" spans="1:1" ht="15" customHeight="1" x14ac:dyDescent="0.25">
      <c r="A2569"/>
    </row>
    <row r="2570" spans="1:1" ht="15" customHeight="1" x14ac:dyDescent="0.25">
      <c r="A2570"/>
    </row>
    <row r="2571" spans="1:1" ht="15" customHeight="1" x14ac:dyDescent="0.25">
      <c r="A2571"/>
    </row>
    <row r="2572" spans="1:1" ht="15" customHeight="1" x14ac:dyDescent="0.25">
      <c r="A2572"/>
    </row>
    <row r="2573" spans="1:1" ht="15" customHeight="1" x14ac:dyDescent="0.25">
      <c r="A2573"/>
    </row>
    <row r="2574" spans="1:1" ht="15" customHeight="1" x14ac:dyDescent="0.25">
      <c r="A2574"/>
    </row>
    <row r="2575" spans="1:1" ht="15" customHeight="1" x14ac:dyDescent="0.25">
      <c r="A2575"/>
    </row>
    <row r="2576" spans="1:1" ht="15" customHeight="1" x14ac:dyDescent="0.25">
      <c r="A2576"/>
    </row>
    <row r="2577" spans="1:1" ht="15" customHeight="1" x14ac:dyDescent="0.25">
      <c r="A2577"/>
    </row>
    <row r="2578" spans="1:1" ht="15" customHeight="1" x14ac:dyDescent="0.25">
      <c r="A2578"/>
    </row>
    <row r="2579" spans="1:1" ht="15" customHeight="1" x14ac:dyDescent="0.25">
      <c r="A2579"/>
    </row>
    <row r="2580" spans="1:1" ht="15" customHeight="1" x14ac:dyDescent="0.25">
      <c r="A2580"/>
    </row>
    <row r="2581" spans="1:1" ht="15" customHeight="1" x14ac:dyDescent="0.25">
      <c r="A2581"/>
    </row>
    <row r="2582" spans="1:1" ht="15" customHeight="1" x14ac:dyDescent="0.25">
      <c r="A2582"/>
    </row>
    <row r="2583" spans="1:1" ht="15" customHeight="1" x14ac:dyDescent="0.25">
      <c r="A2583"/>
    </row>
    <row r="2584" spans="1:1" ht="15" customHeight="1" x14ac:dyDescent="0.25">
      <c r="A2584"/>
    </row>
    <row r="2585" spans="1:1" ht="15" customHeight="1" x14ac:dyDescent="0.25">
      <c r="A2585"/>
    </row>
    <row r="2586" spans="1:1" ht="15" customHeight="1" x14ac:dyDescent="0.25">
      <c r="A2586"/>
    </row>
    <row r="2587" spans="1:1" ht="15" customHeight="1" x14ac:dyDescent="0.25">
      <c r="A2587"/>
    </row>
    <row r="2588" spans="1:1" ht="15" customHeight="1" x14ac:dyDescent="0.25">
      <c r="A2588"/>
    </row>
    <row r="2589" spans="1:1" ht="15" customHeight="1" x14ac:dyDescent="0.25">
      <c r="A2589"/>
    </row>
    <row r="2590" spans="1:1" ht="15" customHeight="1" x14ac:dyDescent="0.25">
      <c r="A2590"/>
    </row>
    <row r="2591" spans="1:1" ht="15" customHeight="1" x14ac:dyDescent="0.25">
      <c r="A2591"/>
    </row>
    <row r="2592" spans="1:1" ht="15" customHeight="1" x14ac:dyDescent="0.25">
      <c r="A2592"/>
    </row>
    <row r="2593" spans="1:1" ht="15" customHeight="1" x14ac:dyDescent="0.25">
      <c r="A2593"/>
    </row>
    <row r="2594" spans="1:1" ht="15" customHeight="1" x14ac:dyDescent="0.25">
      <c r="A2594"/>
    </row>
    <row r="2595" spans="1:1" ht="15" customHeight="1" x14ac:dyDescent="0.25">
      <c r="A2595"/>
    </row>
    <row r="2596" spans="1:1" ht="15" customHeight="1" x14ac:dyDescent="0.25">
      <c r="A2596"/>
    </row>
    <row r="2597" spans="1:1" ht="15" customHeight="1" x14ac:dyDescent="0.25">
      <c r="A2597"/>
    </row>
    <row r="2598" spans="1:1" ht="15" customHeight="1" x14ac:dyDescent="0.25">
      <c r="A2598"/>
    </row>
    <row r="2599" spans="1:1" ht="15" customHeight="1" x14ac:dyDescent="0.25">
      <c r="A2599"/>
    </row>
    <row r="2600" spans="1:1" ht="15" customHeight="1" x14ac:dyDescent="0.25">
      <c r="A2600"/>
    </row>
    <row r="2601" spans="1:1" ht="15" customHeight="1" x14ac:dyDescent="0.25">
      <c r="A2601"/>
    </row>
    <row r="2602" spans="1:1" ht="15" customHeight="1" x14ac:dyDescent="0.25">
      <c r="A2602"/>
    </row>
    <row r="2603" spans="1:1" ht="15" customHeight="1" x14ac:dyDescent="0.25">
      <c r="A2603"/>
    </row>
    <row r="2604" spans="1:1" ht="15" customHeight="1" x14ac:dyDescent="0.25">
      <c r="A2604"/>
    </row>
    <row r="2605" spans="1:1" ht="15" customHeight="1" x14ac:dyDescent="0.25">
      <c r="A2605"/>
    </row>
    <row r="2606" spans="1:1" ht="15" customHeight="1" x14ac:dyDescent="0.25">
      <c r="A2606"/>
    </row>
    <row r="2607" spans="1:1" ht="15" customHeight="1" x14ac:dyDescent="0.25">
      <c r="A2607"/>
    </row>
    <row r="2608" spans="1:1" ht="15" customHeight="1" x14ac:dyDescent="0.25">
      <c r="A2608"/>
    </row>
    <row r="2609" spans="1:1" ht="15" customHeight="1" x14ac:dyDescent="0.25">
      <c r="A2609"/>
    </row>
    <row r="2610" spans="1:1" ht="15" customHeight="1" x14ac:dyDescent="0.25">
      <c r="A2610"/>
    </row>
    <row r="2611" spans="1:1" ht="15" customHeight="1" x14ac:dyDescent="0.25">
      <c r="A2611"/>
    </row>
    <row r="2612" spans="1:1" ht="15" customHeight="1" x14ac:dyDescent="0.25">
      <c r="A2612"/>
    </row>
    <row r="2613" spans="1:1" ht="15" customHeight="1" x14ac:dyDescent="0.25">
      <c r="A2613"/>
    </row>
    <row r="2614" spans="1:1" ht="15" customHeight="1" x14ac:dyDescent="0.25">
      <c r="A2614"/>
    </row>
    <row r="2615" spans="1:1" ht="15" customHeight="1" x14ac:dyDescent="0.25">
      <c r="A2615"/>
    </row>
    <row r="2616" spans="1:1" ht="15" customHeight="1" x14ac:dyDescent="0.25">
      <c r="A2616"/>
    </row>
    <row r="2617" spans="1:1" ht="15" customHeight="1" x14ac:dyDescent="0.25">
      <c r="A2617"/>
    </row>
    <row r="2618" spans="1:1" ht="15" customHeight="1" x14ac:dyDescent="0.25">
      <c r="A2618"/>
    </row>
    <row r="2619" spans="1:1" ht="15" customHeight="1" x14ac:dyDescent="0.25">
      <c r="A2619"/>
    </row>
    <row r="2620" spans="1:1" ht="15" customHeight="1" x14ac:dyDescent="0.25">
      <c r="A2620"/>
    </row>
    <row r="2621" spans="1:1" ht="15" customHeight="1" x14ac:dyDescent="0.25">
      <c r="A2621"/>
    </row>
    <row r="2622" spans="1:1" ht="15" customHeight="1" x14ac:dyDescent="0.25">
      <c r="A2622"/>
    </row>
    <row r="2623" spans="1:1" ht="15" customHeight="1" x14ac:dyDescent="0.25">
      <c r="A2623"/>
    </row>
    <row r="2624" spans="1:1" ht="15" customHeight="1" x14ac:dyDescent="0.25">
      <c r="A2624"/>
    </row>
    <row r="2625" spans="1:1" ht="15" customHeight="1" x14ac:dyDescent="0.25">
      <c r="A2625"/>
    </row>
    <row r="2626" spans="1:1" ht="15" customHeight="1" x14ac:dyDescent="0.25">
      <c r="A2626"/>
    </row>
    <row r="2627" spans="1:1" ht="15" customHeight="1" x14ac:dyDescent="0.25">
      <c r="A2627"/>
    </row>
    <row r="2628" spans="1:1" ht="15" customHeight="1" x14ac:dyDescent="0.25">
      <c r="A2628"/>
    </row>
    <row r="2629" spans="1:1" ht="15" customHeight="1" x14ac:dyDescent="0.25">
      <c r="A2629"/>
    </row>
    <row r="2630" spans="1:1" ht="15" customHeight="1" x14ac:dyDescent="0.25">
      <c r="A2630"/>
    </row>
    <row r="2631" spans="1:1" ht="15" customHeight="1" x14ac:dyDescent="0.25">
      <c r="A2631"/>
    </row>
    <row r="2632" spans="1:1" ht="15" customHeight="1" x14ac:dyDescent="0.25">
      <c r="A2632"/>
    </row>
    <row r="2633" spans="1:1" ht="15" customHeight="1" x14ac:dyDescent="0.25">
      <c r="A2633"/>
    </row>
    <row r="2634" spans="1:1" ht="15" customHeight="1" x14ac:dyDescent="0.25">
      <c r="A2634"/>
    </row>
    <row r="2635" spans="1:1" ht="15" customHeight="1" x14ac:dyDescent="0.25">
      <c r="A2635"/>
    </row>
    <row r="2636" spans="1:1" ht="15" customHeight="1" x14ac:dyDescent="0.25">
      <c r="A2636"/>
    </row>
    <row r="2637" spans="1:1" ht="15" customHeight="1" x14ac:dyDescent="0.25">
      <c r="A2637"/>
    </row>
    <row r="2638" spans="1:1" ht="15" customHeight="1" x14ac:dyDescent="0.25">
      <c r="A2638"/>
    </row>
    <row r="2639" spans="1:1" ht="15" customHeight="1" x14ac:dyDescent="0.25">
      <c r="A2639"/>
    </row>
    <row r="2640" spans="1:1" ht="15" customHeight="1" x14ac:dyDescent="0.25">
      <c r="A2640"/>
    </row>
    <row r="2641" spans="1:1" ht="15" customHeight="1" x14ac:dyDescent="0.25">
      <c r="A2641"/>
    </row>
    <row r="2642" spans="1:1" ht="15" customHeight="1" x14ac:dyDescent="0.25">
      <c r="A2642"/>
    </row>
    <row r="2643" spans="1:1" ht="15" customHeight="1" x14ac:dyDescent="0.25">
      <c r="A2643"/>
    </row>
    <row r="2644" spans="1:1" ht="15" customHeight="1" x14ac:dyDescent="0.25">
      <c r="A2644"/>
    </row>
    <row r="2645" spans="1:1" ht="15" customHeight="1" x14ac:dyDescent="0.25">
      <c r="A2645"/>
    </row>
    <row r="2646" spans="1:1" ht="15" customHeight="1" x14ac:dyDescent="0.25">
      <c r="A2646"/>
    </row>
    <row r="2647" spans="1:1" ht="15" customHeight="1" x14ac:dyDescent="0.25">
      <c r="A2647"/>
    </row>
    <row r="2648" spans="1:1" ht="15" customHeight="1" x14ac:dyDescent="0.25">
      <c r="A2648"/>
    </row>
    <row r="2649" spans="1:1" ht="15" customHeight="1" x14ac:dyDescent="0.25">
      <c r="A2649"/>
    </row>
    <row r="2650" spans="1:1" ht="15" customHeight="1" x14ac:dyDescent="0.25">
      <c r="A2650"/>
    </row>
    <row r="2651" spans="1:1" ht="15" customHeight="1" x14ac:dyDescent="0.25">
      <c r="A2651"/>
    </row>
    <row r="2652" spans="1:1" ht="15" customHeight="1" x14ac:dyDescent="0.25">
      <c r="A2652"/>
    </row>
    <row r="2653" spans="1:1" ht="15" customHeight="1" x14ac:dyDescent="0.25">
      <c r="A2653"/>
    </row>
    <row r="2654" spans="1:1" ht="15" customHeight="1" x14ac:dyDescent="0.25">
      <c r="A2654"/>
    </row>
    <row r="2655" spans="1:1" ht="15" customHeight="1" x14ac:dyDescent="0.25">
      <c r="A2655"/>
    </row>
    <row r="2656" spans="1:1" ht="15" customHeight="1" x14ac:dyDescent="0.25">
      <c r="A2656"/>
    </row>
    <row r="2657" spans="1:1" ht="15" customHeight="1" x14ac:dyDescent="0.25">
      <c r="A2657"/>
    </row>
    <row r="2658" spans="1:1" ht="15" customHeight="1" x14ac:dyDescent="0.25">
      <c r="A2658"/>
    </row>
    <row r="2659" spans="1:1" ht="15" customHeight="1" x14ac:dyDescent="0.25">
      <c r="A2659"/>
    </row>
    <row r="2660" spans="1:1" ht="15" customHeight="1" x14ac:dyDescent="0.25">
      <c r="A2660"/>
    </row>
    <row r="2661" spans="1:1" ht="15" customHeight="1" x14ac:dyDescent="0.25">
      <c r="A2661"/>
    </row>
    <row r="2662" spans="1:1" ht="15" customHeight="1" x14ac:dyDescent="0.25">
      <c r="A2662"/>
    </row>
    <row r="2663" spans="1:1" ht="15" customHeight="1" x14ac:dyDescent="0.25">
      <c r="A2663"/>
    </row>
    <row r="2664" spans="1:1" ht="15" customHeight="1" x14ac:dyDescent="0.25">
      <c r="A2664"/>
    </row>
    <row r="2665" spans="1:1" ht="15" customHeight="1" x14ac:dyDescent="0.25">
      <c r="A2665"/>
    </row>
    <row r="2666" spans="1:1" ht="15" customHeight="1" x14ac:dyDescent="0.25">
      <c r="A2666"/>
    </row>
    <row r="2667" spans="1:1" ht="15" customHeight="1" x14ac:dyDescent="0.25">
      <c r="A2667"/>
    </row>
    <row r="2668" spans="1:1" ht="15" customHeight="1" x14ac:dyDescent="0.25">
      <c r="A2668"/>
    </row>
    <row r="2669" spans="1:1" ht="15" customHeight="1" x14ac:dyDescent="0.25">
      <c r="A2669"/>
    </row>
    <row r="2670" spans="1:1" ht="15" customHeight="1" x14ac:dyDescent="0.25">
      <c r="A2670"/>
    </row>
    <row r="2671" spans="1:1" ht="15" customHeight="1" x14ac:dyDescent="0.25">
      <c r="A2671"/>
    </row>
    <row r="2672" spans="1:1" ht="15" customHeight="1" x14ac:dyDescent="0.25">
      <c r="A2672"/>
    </row>
    <row r="2673" spans="1:1" ht="15" customHeight="1" x14ac:dyDescent="0.25">
      <c r="A2673"/>
    </row>
    <row r="2674" spans="1:1" ht="15" customHeight="1" x14ac:dyDescent="0.25">
      <c r="A2674"/>
    </row>
    <row r="2675" spans="1:1" ht="15" customHeight="1" x14ac:dyDescent="0.25">
      <c r="A2675"/>
    </row>
    <row r="2676" spans="1:1" ht="15" customHeight="1" x14ac:dyDescent="0.25">
      <c r="A2676"/>
    </row>
    <row r="2677" spans="1:1" ht="15" customHeight="1" x14ac:dyDescent="0.25">
      <c r="A2677"/>
    </row>
    <row r="2678" spans="1:1" ht="15" customHeight="1" x14ac:dyDescent="0.25">
      <c r="A2678"/>
    </row>
    <row r="2679" spans="1:1" ht="15" customHeight="1" x14ac:dyDescent="0.25">
      <c r="A2679"/>
    </row>
    <row r="2680" spans="1:1" ht="15" customHeight="1" x14ac:dyDescent="0.25">
      <c r="A2680"/>
    </row>
    <row r="2681" spans="1:1" ht="15" customHeight="1" x14ac:dyDescent="0.25">
      <c r="A2681"/>
    </row>
    <row r="2682" spans="1:1" ht="15" customHeight="1" x14ac:dyDescent="0.25">
      <c r="A2682"/>
    </row>
    <row r="2683" spans="1:1" ht="15" customHeight="1" x14ac:dyDescent="0.25">
      <c r="A2683"/>
    </row>
    <row r="2684" spans="1:1" ht="15" customHeight="1" x14ac:dyDescent="0.25">
      <c r="A2684"/>
    </row>
    <row r="2685" spans="1:1" ht="15" customHeight="1" x14ac:dyDescent="0.25">
      <c r="A2685"/>
    </row>
    <row r="2686" spans="1:1" ht="15" customHeight="1" x14ac:dyDescent="0.25">
      <c r="A2686"/>
    </row>
    <row r="2687" spans="1:1" ht="15" customHeight="1" x14ac:dyDescent="0.25">
      <c r="A2687"/>
    </row>
    <row r="2688" spans="1:1" ht="15" customHeight="1" x14ac:dyDescent="0.25">
      <c r="A2688"/>
    </row>
    <row r="2689" spans="1:1" ht="15" customHeight="1" x14ac:dyDescent="0.25">
      <c r="A2689"/>
    </row>
    <row r="2690" spans="1:1" ht="15" customHeight="1" x14ac:dyDescent="0.25">
      <c r="A2690"/>
    </row>
    <row r="2691" spans="1:1" ht="15" customHeight="1" x14ac:dyDescent="0.25">
      <c r="A2691"/>
    </row>
    <row r="2692" spans="1:1" ht="15" customHeight="1" x14ac:dyDescent="0.25">
      <c r="A2692"/>
    </row>
    <row r="2693" spans="1:1" ht="15" customHeight="1" x14ac:dyDescent="0.25">
      <c r="A2693"/>
    </row>
    <row r="2694" spans="1:1" ht="15" customHeight="1" x14ac:dyDescent="0.25">
      <c r="A2694"/>
    </row>
    <row r="2695" spans="1:1" ht="15" customHeight="1" x14ac:dyDescent="0.25">
      <c r="A2695"/>
    </row>
    <row r="2696" spans="1:1" ht="15" customHeight="1" x14ac:dyDescent="0.25">
      <c r="A2696"/>
    </row>
    <row r="2697" spans="1:1" ht="15" customHeight="1" x14ac:dyDescent="0.25">
      <c r="A2697"/>
    </row>
    <row r="2698" spans="1:1" ht="15" customHeight="1" x14ac:dyDescent="0.25">
      <c r="A2698"/>
    </row>
    <row r="2699" spans="1:1" ht="15" customHeight="1" x14ac:dyDescent="0.25">
      <c r="A2699"/>
    </row>
    <row r="2700" spans="1:1" ht="15" customHeight="1" x14ac:dyDescent="0.25">
      <c r="A2700"/>
    </row>
    <row r="2701" spans="1:1" ht="15" customHeight="1" x14ac:dyDescent="0.25">
      <c r="A2701"/>
    </row>
    <row r="2702" spans="1:1" ht="15" customHeight="1" x14ac:dyDescent="0.25">
      <c r="A2702"/>
    </row>
    <row r="2703" spans="1:1" ht="15" customHeight="1" x14ac:dyDescent="0.25">
      <c r="A2703"/>
    </row>
    <row r="2704" spans="1:1" ht="15" customHeight="1" x14ac:dyDescent="0.25">
      <c r="A2704"/>
    </row>
    <row r="2705" spans="1:1" ht="15" customHeight="1" x14ac:dyDescent="0.25">
      <c r="A2705"/>
    </row>
    <row r="2706" spans="1:1" ht="15" customHeight="1" x14ac:dyDescent="0.25">
      <c r="A2706"/>
    </row>
    <row r="2707" spans="1:1" ht="15" customHeight="1" x14ac:dyDescent="0.25">
      <c r="A2707"/>
    </row>
    <row r="2708" spans="1:1" ht="15" customHeight="1" x14ac:dyDescent="0.25">
      <c r="A2708"/>
    </row>
    <row r="2709" spans="1:1" ht="15" customHeight="1" x14ac:dyDescent="0.25">
      <c r="A2709"/>
    </row>
    <row r="2710" spans="1:1" ht="15" customHeight="1" x14ac:dyDescent="0.25">
      <c r="A2710"/>
    </row>
    <row r="2711" spans="1:1" ht="15" customHeight="1" x14ac:dyDescent="0.25">
      <c r="A2711"/>
    </row>
    <row r="2712" spans="1:1" ht="15" customHeight="1" x14ac:dyDescent="0.25">
      <c r="A2712"/>
    </row>
    <row r="2713" spans="1:1" ht="15" customHeight="1" x14ac:dyDescent="0.25">
      <c r="A2713"/>
    </row>
    <row r="2714" spans="1:1" ht="15" customHeight="1" x14ac:dyDescent="0.25">
      <c r="A2714"/>
    </row>
    <row r="2715" spans="1:1" ht="15" customHeight="1" x14ac:dyDescent="0.25">
      <c r="A2715"/>
    </row>
    <row r="2716" spans="1:1" ht="15" customHeight="1" x14ac:dyDescent="0.25">
      <c r="A2716"/>
    </row>
    <row r="2717" spans="1:1" ht="15" customHeight="1" x14ac:dyDescent="0.25">
      <c r="A2717"/>
    </row>
    <row r="2718" spans="1:1" ht="15" customHeight="1" x14ac:dyDescent="0.25">
      <c r="A2718"/>
    </row>
    <row r="2719" spans="1:1" ht="15" customHeight="1" x14ac:dyDescent="0.25">
      <c r="A2719"/>
    </row>
    <row r="2720" spans="1:1" ht="15" customHeight="1" x14ac:dyDescent="0.25">
      <c r="A2720"/>
    </row>
    <row r="2721" spans="1:1" ht="15" customHeight="1" x14ac:dyDescent="0.25">
      <c r="A2721"/>
    </row>
    <row r="2722" spans="1:1" ht="15" customHeight="1" x14ac:dyDescent="0.25">
      <c r="A2722"/>
    </row>
    <row r="2723" spans="1:1" ht="15" customHeight="1" x14ac:dyDescent="0.25">
      <c r="A2723"/>
    </row>
    <row r="2724" spans="1:1" ht="15" customHeight="1" x14ac:dyDescent="0.25">
      <c r="A2724"/>
    </row>
    <row r="2725" spans="1:1" ht="15" customHeight="1" x14ac:dyDescent="0.25">
      <c r="A2725"/>
    </row>
    <row r="2726" spans="1:1" ht="15" customHeight="1" x14ac:dyDescent="0.25">
      <c r="A2726"/>
    </row>
    <row r="2727" spans="1:1" ht="15" customHeight="1" x14ac:dyDescent="0.25">
      <c r="A2727"/>
    </row>
    <row r="2728" spans="1:1" ht="15" customHeight="1" x14ac:dyDescent="0.25">
      <c r="A2728"/>
    </row>
    <row r="2729" spans="1:1" ht="15" customHeight="1" x14ac:dyDescent="0.25">
      <c r="A2729"/>
    </row>
    <row r="2730" spans="1:1" ht="15" customHeight="1" x14ac:dyDescent="0.25">
      <c r="A2730"/>
    </row>
    <row r="2731" spans="1:1" ht="15" customHeight="1" x14ac:dyDescent="0.25">
      <c r="A2731"/>
    </row>
    <row r="2732" spans="1:1" ht="15" customHeight="1" x14ac:dyDescent="0.25">
      <c r="A2732"/>
    </row>
    <row r="2733" spans="1:1" ht="15" customHeight="1" x14ac:dyDescent="0.25">
      <c r="A2733"/>
    </row>
    <row r="2734" spans="1:1" ht="15" customHeight="1" x14ac:dyDescent="0.25">
      <c r="A2734"/>
    </row>
    <row r="2735" spans="1:1" ht="15" customHeight="1" x14ac:dyDescent="0.25">
      <c r="A2735"/>
    </row>
    <row r="2736" spans="1:1" ht="15" customHeight="1" x14ac:dyDescent="0.25">
      <c r="A2736"/>
    </row>
    <row r="2737" spans="1:1" ht="15" customHeight="1" x14ac:dyDescent="0.25">
      <c r="A2737"/>
    </row>
    <row r="2738" spans="1:1" ht="15" customHeight="1" x14ac:dyDescent="0.25">
      <c r="A2738"/>
    </row>
    <row r="2739" spans="1:1" ht="15" customHeight="1" x14ac:dyDescent="0.25">
      <c r="A2739"/>
    </row>
    <row r="2740" spans="1:1" ht="15" customHeight="1" x14ac:dyDescent="0.25">
      <c r="A2740"/>
    </row>
    <row r="2741" spans="1:1" ht="15" customHeight="1" x14ac:dyDescent="0.25">
      <c r="A2741"/>
    </row>
    <row r="2742" spans="1:1" ht="15" customHeight="1" x14ac:dyDescent="0.25">
      <c r="A2742"/>
    </row>
    <row r="2743" spans="1:1" ht="15" customHeight="1" x14ac:dyDescent="0.25">
      <c r="A2743"/>
    </row>
    <row r="2744" spans="1:1" ht="15" customHeight="1" x14ac:dyDescent="0.25">
      <c r="A2744"/>
    </row>
    <row r="2745" spans="1:1" ht="15" customHeight="1" x14ac:dyDescent="0.25">
      <c r="A2745"/>
    </row>
    <row r="2746" spans="1:1" ht="15" customHeight="1" x14ac:dyDescent="0.25">
      <c r="A2746"/>
    </row>
    <row r="2747" spans="1:1" ht="15" customHeight="1" x14ac:dyDescent="0.25">
      <c r="A2747"/>
    </row>
    <row r="2748" spans="1:1" ht="15" customHeight="1" x14ac:dyDescent="0.25">
      <c r="A2748"/>
    </row>
    <row r="2749" spans="1:1" ht="15" customHeight="1" x14ac:dyDescent="0.25">
      <c r="A2749"/>
    </row>
    <row r="2750" spans="1:1" ht="15" customHeight="1" x14ac:dyDescent="0.25">
      <c r="A2750"/>
    </row>
    <row r="2751" spans="1:1" ht="15" customHeight="1" x14ac:dyDescent="0.25">
      <c r="A2751"/>
    </row>
    <row r="2752" spans="1:1" ht="15" customHeight="1" x14ac:dyDescent="0.25">
      <c r="A2752"/>
    </row>
    <row r="2753" spans="1:1" ht="15" customHeight="1" x14ac:dyDescent="0.25">
      <c r="A2753"/>
    </row>
    <row r="2754" spans="1:1" ht="15" customHeight="1" x14ac:dyDescent="0.25">
      <c r="A2754"/>
    </row>
    <row r="2755" spans="1:1" ht="15" customHeight="1" x14ac:dyDescent="0.25">
      <c r="A2755"/>
    </row>
    <row r="2756" spans="1:1" ht="15" customHeight="1" x14ac:dyDescent="0.25">
      <c r="A2756"/>
    </row>
    <row r="2757" spans="1:1" ht="15" customHeight="1" x14ac:dyDescent="0.25">
      <c r="A2757"/>
    </row>
    <row r="2758" spans="1:1" ht="15" customHeight="1" x14ac:dyDescent="0.25">
      <c r="A2758"/>
    </row>
    <row r="2759" spans="1:1" ht="15" customHeight="1" x14ac:dyDescent="0.25">
      <c r="A2759"/>
    </row>
    <row r="2760" spans="1:1" ht="15" customHeight="1" x14ac:dyDescent="0.25">
      <c r="A2760"/>
    </row>
    <row r="2761" spans="1:1" ht="15" customHeight="1" x14ac:dyDescent="0.25">
      <c r="A2761"/>
    </row>
    <row r="2762" spans="1:1" ht="15" customHeight="1" x14ac:dyDescent="0.25">
      <c r="A2762"/>
    </row>
    <row r="2763" spans="1:1" ht="15" customHeight="1" x14ac:dyDescent="0.25">
      <c r="A2763"/>
    </row>
    <row r="2764" spans="1:1" ht="15" customHeight="1" x14ac:dyDescent="0.25">
      <c r="A2764"/>
    </row>
    <row r="2765" spans="1:1" ht="15" customHeight="1" x14ac:dyDescent="0.25">
      <c r="A2765"/>
    </row>
    <row r="2766" spans="1:1" ht="15" customHeight="1" x14ac:dyDescent="0.25">
      <c r="A2766"/>
    </row>
    <row r="2767" spans="1:1" ht="15" customHeight="1" x14ac:dyDescent="0.25">
      <c r="A2767"/>
    </row>
    <row r="2768" spans="1:1" ht="15" customHeight="1" x14ac:dyDescent="0.25">
      <c r="A2768"/>
    </row>
    <row r="2769" spans="1:1" ht="15" customHeight="1" x14ac:dyDescent="0.25">
      <c r="A2769"/>
    </row>
    <row r="2770" spans="1:1" ht="15" customHeight="1" x14ac:dyDescent="0.25">
      <c r="A2770"/>
    </row>
    <row r="2771" spans="1:1" ht="15" customHeight="1" x14ac:dyDescent="0.25">
      <c r="A2771"/>
    </row>
    <row r="2772" spans="1:1" ht="15" customHeight="1" x14ac:dyDescent="0.25">
      <c r="A2772"/>
    </row>
    <row r="2773" spans="1:1" ht="15" customHeight="1" x14ac:dyDescent="0.25">
      <c r="A2773"/>
    </row>
    <row r="2774" spans="1:1" ht="15" customHeight="1" x14ac:dyDescent="0.25">
      <c r="A2774"/>
    </row>
    <row r="2775" spans="1:1" ht="15" customHeight="1" x14ac:dyDescent="0.25">
      <c r="A2775"/>
    </row>
    <row r="2776" spans="1:1" ht="15" customHeight="1" x14ac:dyDescent="0.25">
      <c r="A2776"/>
    </row>
    <row r="2777" spans="1:1" ht="15" customHeight="1" x14ac:dyDescent="0.25">
      <c r="A2777"/>
    </row>
    <row r="2778" spans="1:1" ht="15" customHeight="1" x14ac:dyDescent="0.25">
      <c r="A2778"/>
    </row>
    <row r="2779" spans="1:1" ht="15" customHeight="1" x14ac:dyDescent="0.25">
      <c r="A2779"/>
    </row>
    <row r="2780" spans="1:1" ht="15" customHeight="1" x14ac:dyDescent="0.25">
      <c r="A2780"/>
    </row>
    <row r="2781" spans="1:1" ht="15" customHeight="1" x14ac:dyDescent="0.25">
      <c r="A2781"/>
    </row>
    <row r="2782" spans="1:1" ht="15" customHeight="1" x14ac:dyDescent="0.25">
      <c r="A2782"/>
    </row>
    <row r="2783" spans="1:1" ht="15" customHeight="1" x14ac:dyDescent="0.25">
      <c r="A2783"/>
    </row>
    <row r="2784" spans="1:1" ht="15" customHeight="1" x14ac:dyDescent="0.25">
      <c r="A2784"/>
    </row>
    <row r="2785" spans="1:1" ht="15" customHeight="1" x14ac:dyDescent="0.25">
      <c r="A2785"/>
    </row>
    <row r="2786" spans="1:1" ht="15" customHeight="1" x14ac:dyDescent="0.25">
      <c r="A2786"/>
    </row>
    <row r="2787" spans="1:1" ht="15" customHeight="1" x14ac:dyDescent="0.25">
      <c r="A2787"/>
    </row>
    <row r="2788" spans="1:1" ht="15" customHeight="1" x14ac:dyDescent="0.25">
      <c r="A2788"/>
    </row>
    <row r="2789" spans="1:1" ht="15" customHeight="1" x14ac:dyDescent="0.25">
      <c r="A2789"/>
    </row>
    <row r="2790" spans="1:1" ht="15" customHeight="1" x14ac:dyDescent="0.25">
      <c r="A2790"/>
    </row>
    <row r="2791" spans="1:1" ht="15" customHeight="1" x14ac:dyDescent="0.25">
      <c r="A2791"/>
    </row>
    <row r="2792" spans="1:1" ht="15" customHeight="1" x14ac:dyDescent="0.25">
      <c r="A2792"/>
    </row>
    <row r="2793" spans="1:1" ht="15" customHeight="1" x14ac:dyDescent="0.25">
      <c r="A2793"/>
    </row>
    <row r="2794" spans="1:1" ht="15" customHeight="1" x14ac:dyDescent="0.25">
      <c r="A2794"/>
    </row>
    <row r="2795" spans="1:1" ht="15" customHeight="1" x14ac:dyDescent="0.25">
      <c r="A2795"/>
    </row>
    <row r="2796" spans="1:1" ht="15" customHeight="1" x14ac:dyDescent="0.25">
      <c r="A2796"/>
    </row>
    <row r="2797" spans="1:1" ht="15" customHeight="1" x14ac:dyDescent="0.25">
      <c r="A2797"/>
    </row>
    <row r="2798" spans="1:1" ht="15" customHeight="1" x14ac:dyDescent="0.25">
      <c r="A2798"/>
    </row>
    <row r="2799" spans="1:1" ht="15" customHeight="1" x14ac:dyDescent="0.25">
      <c r="A2799"/>
    </row>
    <row r="2800" spans="1:1" ht="15" customHeight="1" x14ac:dyDescent="0.25">
      <c r="A2800"/>
    </row>
    <row r="2801" spans="1:1" ht="15" customHeight="1" x14ac:dyDescent="0.25">
      <c r="A2801"/>
    </row>
    <row r="2802" spans="1:1" ht="15" customHeight="1" x14ac:dyDescent="0.25">
      <c r="A2802"/>
    </row>
    <row r="2803" spans="1:1" ht="15" customHeight="1" x14ac:dyDescent="0.25">
      <c r="A2803"/>
    </row>
    <row r="2804" spans="1:1" ht="15" customHeight="1" x14ac:dyDescent="0.25">
      <c r="A2804"/>
    </row>
    <row r="2805" spans="1:1" ht="15" customHeight="1" x14ac:dyDescent="0.25">
      <c r="A2805"/>
    </row>
    <row r="2806" spans="1:1" ht="15" customHeight="1" x14ac:dyDescent="0.25">
      <c r="A2806"/>
    </row>
    <row r="2807" spans="1:1" ht="15" customHeight="1" x14ac:dyDescent="0.25">
      <c r="A2807"/>
    </row>
    <row r="2808" spans="1:1" ht="15" customHeight="1" x14ac:dyDescent="0.25">
      <c r="A2808"/>
    </row>
    <row r="2809" spans="1:1" ht="15" customHeight="1" x14ac:dyDescent="0.25">
      <c r="A2809"/>
    </row>
    <row r="2810" spans="1:1" ht="15" customHeight="1" x14ac:dyDescent="0.25">
      <c r="A2810"/>
    </row>
    <row r="2811" spans="1:1" ht="15" customHeight="1" x14ac:dyDescent="0.25">
      <c r="A2811"/>
    </row>
    <row r="2812" spans="1:1" ht="15" customHeight="1" x14ac:dyDescent="0.25">
      <c r="A2812"/>
    </row>
    <row r="2813" spans="1:1" ht="15" customHeight="1" x14ac:dyDescent="0.25">
      <c r="A2813"/>
    </row>
    <row r="2814" spans="1:1" ht="15" customHeight="1" x14ac:dyDescent="0.25">
      <c r="A2814"/>
    </row>
    <row r="2815" spans="1:1" ht="15" customHeight="1" x14ac:dyDescent="0.25">
      <c r="A2815"/>
    </row>
    <row r="2816" spans="1:1" ht="15" customHeight="1" x14ac:dyDescent="0.25">
      <c r="A2816"/>
    </row>
    <row r="2817" spans="1:1" ht="15" customHeight="1" x14ac:dyDescent="0.25">
      <c r="A2817"/>
    </row>
    <row r="2818" spans="1:1" ht="15" customHeight="1" x14ac:dyDescent="0.25">
      <c r="A2818"/>
    </row>
    <row r="2819" spans="1:1" ht="15" customHeight="1" x14ac:dyDescent="0.25">
      <c r="A2819"/>
    </row>
    <row r="2820" spans="1:1" ht="15" customHeight="1" x14ac:dyDescent="0.25">
      <c r="A2820"/>
    </row>
    <row r="2821" spans="1:1" ht="15" customHeight="1" x14ac:dyDescent="0.25">
      <c r="A2821"/>
    </row>
    <row r="2822" spans="1:1" ht="15" customHeight="1" x14ac:dyDescent="0.25">
      <c r="A2822"/>
    </row>
    <row r="2823" spans="1:1" ht="15" customHeight="1" x14ac:dyDescent="0.25">
      <c r="A2823"/>
    </row>
    <row r="2824" spans="1:1" ht="15" customHeight="1" x14ac:dyDescent="0.25">
      <c r="A2824"/>
    </row>
    <row r="2825" spans="1:1" ht="15" customHeight="1" x14ac:dyDescent="0.25">
      <c r="A2825"/>
    </row>
    <row r="2826" spans="1:1" ht="15" customHeight="1" x14ac:dyDescent="0.25">
      <c r="A2826"/>
    </row>
    <row r="2827" spans="1:1" ht="15" customHeight="1" x14ac:dyDescent="0.25">
      <c r="A2827"/>
    </row>
    <row r="2828" spans="1:1" ht="15" customHeight="1" x14ac:dyDescent="0.25">
      <c r="A2828"/>
    </row>
    <row r="2829" spans="1:1" ht="15" customHeight="1" x14ac:dyDescent="0.25">
      <c r="A2829"/>
    </row>
    <row r="2830" spans="1:1" ht="15" customHeight="1" x14ac:dyDescent="0.25">
      <c r="A2830"/>
    </row>
    <row r="2831" spans="1:1" ht="15" customHeight="1" x14ac:dyDescent="0.25">
      <c r="A2831"/>
    </row>
    <row r="2832" spans="1:1" ht="15" customHeight="1" x14ac:dyDescent="0.25">
      <c r="A2832"/>
    </row>
    <row r="2833" spans="1:1" ht="15" customHeight="1" x14ac:dyDescent="0.25">
      <c r="A2833"/>
    </row>
    <row r="2834" spans="1:1" ht="15" customHeight="1" x14ac:dyDescent="0.25">
      <c r="A2834"/>
    </row>
    <row r="2835" spans="1:1" ht="15" customHeight="1" x14ac:dyDescent="0.25">
      <c r="A2835"/>
    </row>
    <row r="2836" spans="1:1" ht="15" customHeight="1" x14ac:dyDescent="0.25">
      <c r="A2836"/>
    </row>
    <row r="2837" spans="1:1" ht="15" customHeight="1" x14ac:dyDescent="0.25">
      <c r="A2837"/>
    </row>
    <row r="2838" spans="1:1" ht="15" customHeight="1" x14ac:dyDescent="0.25">
      <c r="A2838"/>
    </row>
    <row r="2839" spans="1:1" ht="15" customHeight="1" x14ac:dyDescent="0.25">
      <c r="A2839"/>
    </row>
    <row r="2840" spans="1:1" ht="15" customHeight="1" x14ac:dyDescent="0.25">
      <c r="A2840"/>
    </row>
    <row r="2841" spans="1:1" ht="15" customHeight="1" x14ac:dyDescent="0.25">
      <c r="A2841"/>
    </row>
    <row r="2842" spans="1:1" ht="15" customHeight="1" x14ac:dyDescent="0.25">
      <c r="A2842"/>
    </row>
    <row r="2843" spans="1:1" ht="15" customHeight="1" x14ac:dyDescent="0.25">
      <c r="A2843"/>
    </row>
    <row r="2844" spans="1:1" ht="15" customHeight="1" x14ac:dyDescent="0.25">
      <c r="A2844"/>
    </row>
    <row r="2845" spans="1:1" ht="15" customHeight="1" x14ac:dyDescent="0.25">
      <c r="A2845"/>
    </row>
    <row r="2846" spans="1:1" ht="15" customHeight="1" x14ac:dyDescent="0.25">
      <c r="A2846"/>
    </row>
    <row r="2847" spans="1:1" ht="15" customHeight="1" x14ac:dyDescent="0.25">
      <c r="A2847"/>
    </row>
    <row r="2848" spans="1:1" ht="15" customHeight="1" x14ac:dyDescent="0.25">
      <c r="A2848"/>
    </row>
    <row r="2849" spans="1:1" ht="15" customHeight="1" x14ac:dyDescent="0.25">
      <c r="A2849"/>
    </row>
    <row r="2850" spans="1:1" ht="15" customHeight="1" x14ac:dyDescent="0.25">
      <c r="A2850"/>
    </row>
    <row r="2851" spans="1:1" ht="15" customHeight="1" x14ac:dyDescent="0.25">
      <c r="A2851"/>
    </row>
    <row r="2852" spans="1:1" ht="15" customHeight="1" x14ac:dyDescent="0.25">
      <c r="A2852"/>
    </row>
    <row r="2853" spans="1:1" ht="15" customHeight="1" x14ac:dyDescent="0.25">
      <c r="A2853"/>
    </row>
    <row r="2854" spans="1:1" ht="15" customHeight="1" x14ac:dyDescent="0.25">
      <c r="A2854"/>
    </row>
    <row r="2855" spans="1:1" ht="15" customHeight="1" x14ac:dyDescent="0.25">
      <c r="A2855"/>
    </row>
    <row r="2856" spans="1:1" ht="15" customHeight="1" x14ac:dyDescent="0.25">
      <c r="A2856"/>
    </row>
    <row r="2857" spans="1:1" ht="15" customHeight="1" x14ac:dyDescent="0.25">
      <c r="A2857"/>
    </row>
    <row r="2858" spans="1:1" ht="15" customHeight="1" x14ac:dyDescent="0.25">
      <c r="A2858"/>
    </row>
    <row r="2859" spans="1:1" ht="15" customHeight="1" x14ac:dyDescent="0.25">
      <c r="A2859"/>
    </row>
    <row r="2860" spans="1:1" ht="15" customHeight="1" x14ac:dyDescent="0.25">
      <c r="A2860"/>
    </row>
    <row r="2861" spans="1:1" ht="15" customHeight="1" x14ac:dyDescent="0.25">
      <c r="A2861"/>
    </row>
    <row r="2862" spans="1:1" ht="15" customHeight="1" x14ac:dyDescent="0.25">
      <c r="A2862"/>
    </row>
    <row r="2863" spans="1:1" ht="15" customHeight="1" x14ac:dyDescent="0.25">
      <c r="A2863"/>
    </row>
    <row r="2864" spans="1:1" ht="15" customHeight="1" x14ac:dyDescent="0.25">
      <c r="A2864"/>
    </row>
    <row r="2865" spans="1:1" ht="15" customHeight="1" x14ac:dyDescent="0.25">
      <c r="A2865"/>
    </row>
    <row r="2866" spans="1:1" ht="15" customHeight="1" x14ac:dyDescent="0.25">
      <c r="A2866"/>
    </row>
    <row r="2867" spans="1:1" ht="15" customHeight="1" x14ac:dyDescent="0.25">
      <c r="A2867"/>
    </row>
    <row r="2868" spans="1:1" ht="15" customHeight="1" x14ac:dyDescent="0.25">
      <c r="A2868"/>
    </row>
    <row r="2869" spans="1:1" ht="15" customHeight="1" x14ac:dyDescent="0.25">
      <c r="A2869"/>
    </row>
    <row r="2870" spans="1:1" ht="15" customHeight="1" x14ac:dyDescent="0.25">
      <c r="A2870"/>
    </row>
    <row r="2871" spans="1:1" ht="15" customHeight="1" x14ac:dyDescent="0.25">
      <c r="A2871"/>
    </row>
    <row r="2872" spans="1:1" ht="15" customHeight="1" x14ac:dyDescent="0.25">
      <c r="A2872"/>
    </row>
    <row r="2873" spans="1:1" ht="15" customHeight="1" x14ac:dyDescent="0.25">
      <c r="A2873"/>
    </row>
    <row r="2874" spans="1:1" ht="15" customHeight="1" x14ac:dyDescent="0.25">
      <c r="A2874"/>
    </row>
    <row r="2875" spans="1:1" ht="15" customHeight="1" x14ac:dyDescent="0.25">
      <c r="A2875"/>
    </row>
    <row r="2876" spans="1:1" ht="15" customHeight="1" x14ac:dyDescent="0.25">
      <c r="A2876"/>
    </row>
    <row r="2877" spans="1:1" ht="15" customHeight="1" x14ac:dyDescent="0.25">
      <c r="A2877"/>
    </row>
    <row r="2878" spans="1:1" ht="15" customHeight="1" x14ac:dyDescent="0.25">
      <c r="A2878"/>
    </row>
    <row r="2879" spans="1:1" ht="15" customHeight="1" x14ac:dyDescent="0.25">
      <c r="A2879"/>
    </row>
    <row r="2880" spans="1:1" ht="15" customHeight="1" x14ac:dyDescent="0.25">
      <c r="A2880"/>
    </row>
    <row r="2881" spans="1:1" ht="15" customHeight="1" x14ac:dyDescent="0.25">
      <c r="A2881"/>
    </row>
    <row r="2882" spans="1:1" ht="15" customHeight="1" x14ac:dyDescent="0.25">
      <c r="A2882"/>
    </row>
    <row r="2883" spans="1:1" ht="15" customHeight="1" x14ac:dyDescent="0.25">
      <c r="A2883"/>
    </row>
    <row r="2884" spans="1:1" ht="15" customHeight="1" x14ac:dyDescent="0.25">
      <c r="A2884"/>
    </row>
    <row r="2885" spans="1:1" ht="15" customHeight="1" x14ac:dyDescent="0.25">
      <c r="A2885"/>
    </row>
    <row r="2886" spans="1:1" ht="15" customHeight="1" x14ac:dyDescent="0.25">
      <c r="A2886"/>
    </row>
    <row r="2887" spans="1:1" ht="15" customHeight="1" x14ac:dyDescent="0.25">
      <c r="A2887"/>
    </row>
    <row r="2888" spans="1:1" ht="15" customHeight="1" x14ac:dyDescent="0.25">
      <c r="A2888"/>
    </row>
    <row r="2889" spans="1:1" ht="15" customHeight="1" x14ac:dyDescent="0.25">
      <c r="A2889"/>
    </row>
    <row r="2890" spans="1:1" ht="15" customHeight="1" x14ac:dyDescent="0.25">
      <c r="A2890"/>
    </row>
    <row r="2891" spans="1:1" ht="15" customHeight="1" x14ac:dyDescent="0.25">
      <c r="A2891"/>
    </row>
    <row r="2892" spans="1:1" ht="15" customHeight="1" x14ac:dyDescent="0.25">
      <c r="A2892"/>
    </row>
    <row r="2893" spans="1:1" ht="15" customHeight="1" x14ac:dyDescent="0.25">
      <c r="A2893"/>
    </row>
    <row r="2894" spans="1:1" ht="15" customHeight="1" x14ac:dyDescent="0.25">
      <c r="A2894"/>
    </row>
    <row r="2895" spans="1:1" ht="15" customHeight="1" x14ac:dyDescent="0.25">
      <c r="A2895"/>
    </row>
    <row r="2896" spans="1:1" ht="15" customHeight="1" x14ac:dyDescent="0.25">
      <c r="A2896"/>
    </row>
    <row r="2897" spans="1:1" ht="15" customHeight="1" x14ac:dyDescent="0.25">
      <c r="A2897"/>
    </row>
    <row r="2898" spans="1:1" ht="15" customHeight="1" x14ac:dyDescent="0.25">
      <c r="A2898"/>
    </row>
    <row r="2899" spans="1:1" ht="15" customHeight="1" x14ac:dyDescent="0.25">
      <c r="A2899"/>
    </row>
    <row r="2900" spans="1:1" ht="15" customHeight="1" x14ac:dyDescent="0.25">
      <c r="A2900"/>
    </row>
    <row r="2901" spans="1:1" ht="15" customHeight="1" x14ac:dyDescent="0.25">
      <c r="A2901"/>
    </row>
    <row r="2902" spans="1:1" ht="15" customHeight="1" x14ac:dyDescent="0.25">
      <c r="A2902"/>
    </row>
    <row r="2903" spans="1:1" ht="15" customHeight="1" x14ac:dyDescent="0.25">
      <c r="A2903"/>
    </row>
    <row r="2904" spans="1:1" ht="15" customHeight="1" x14ac:dyDescent="0.25">
      <c r="A2904"/>
    </row>
    <row r="2905" spans="1:1" ht="15" customHeight="1" x14ac:dyDescent="0.25">
      <c r="A2905"/>
    </row>
    <row r="2906" spans="1:1" ht="15" customHeight="1" x14ac:dyDescent="0.25">
      <c r="A2906"/>
    </row>
    <row r="2907" spans="1:1" ht="15" customHeight="1" x14ac:dyDescent="0.25">
      <c r="A2907"/>
    </row>
    <row r="2908" spans="1:1" ht="15" customHeight="1" x14ac:dyDescent="0.25">
      <c r="A2908"/>
    </row>
    <row r="2909" spans="1:1" ht="15" customHeight="1" x14ac:dyDescent="0.25">
      <c r="A2909"/>
    </row>
    <row r="2910" spans="1:1" ht="15" customHeight="1" x14ac:dyDescent="0.25">
      <c r="A2910"/>
    </row>
    <row r="2911" spans="1:1" ht="15" customHeight="1" x14ac:dyDescent="0.25">
      <c r="A2911"/>
    </row>
    <row r="2912" spans="1:1" ht="15" customHeight="1" x14ac:dyDescent="0.25">
      <c r="A2912"/>
    </row>
    <row r="2913" spans="1:1" ht="15" customHeight="1" x14ac:dyDescent="0.25">
      <c r="A2913"/>
    </row>
    <row r="2914" spans="1:1" ht="15" customHeight="1" x14ac:dyDescent="0.25">
      <c r="A2914"/>
    </row>
    <row r="2915" spans="1:1" ht="15" customHeight="1" x14ac:dyDescent="0.25">
      <c r="A2915"/>
    </row>
    <row r="2916" spans="1:1" ht="15" customHeight="1" x14ac:dyDescent="0.25">
      <c r="A2916"/>
    </row>
    <row r="2917" spans="1:1" ht="15" customHeight="1" x14ac:dyDescent="0.25">
      <c r="A2917"/>
    </row>
    <row r="2918" spans="1:1" ht="15" customHeight="1" x14ac:dyDescent="0.25">
      <c r="A2918"/>
    </row>
    <row r="2919" spans="1:1" ht="15" customHeight="1" x14ac:dyDescent="0.25">
      <c r="A2919"/>
    </row>
    <row r="2920" spans="1:1" ht="15" customHeight="1" x14ac:dyDescent="0.25">
      <c r="A2920"/>
    </row>
    <row r="2921" spans="1:1" ht="15" customHeight="1" x14ac:dyDescent="0.25">
      <c r="A2921"/>
    </row>
    <row r="2922" spans="1:1" ht="15" customHeight="1" x14ac:dyDescent="0.25">
      <c r="A2922"/>
    </row>
    <row r="2923" spans="1:1" ht="15" customHeight="1" x14ac:dyDescent="0.25">
      <c r="A2923"/>
    </row>
    <row r="2924" spans="1:1" ht="15" customHeight="1" x14ac:dyDescent="0.25">
      <c r="A2924"/>
    </row>
    <row r="2925" spans="1:1" ht="15" customHeight="1" x14ac:dyDescent="0.25">
      <c r="A2925"/>
    </row>
    <row r="2926" spans="1:1" ht="15" customHeight="1" x14ac:dyDescent="0.25">
      <c r="A2926"/>
    </row>
    <row r="2927" spans="1:1" ht="15" customHeight="1" x14ac:dyDescent="0.25">
      <c r="A2927"/>
    </row>
    <row r="2928" spans="1:1" ht="15" customHeight="1" x14ac:dyDescent="0.25">
      <c r="A2928"/>
    </row>
    <row r="2929" spans="1:1" ht="15" customHeight="1" x14ac:dyDescent="0.25">
      <c r="A2929"/>
    </row>
    <row r="2930" spans="1:1" ht="15" customHeight="1" x14ac:dyDescent="0.25">
      <c r="A2930"/>
    </row>
    <row r="2931" spans="1:1" ht="15" customHeight="1" x14ac:dyDescent="0.25">
      <c r="A2931"/>
    </row>
    <row r="2932" spans="1:1" ht="15" customHeight="1" x14ac:dyDescent="0.25">
      <c r="A2932"/>
    </row>
    <row r="2933" spans="1:1" ht="15" customHeight="1" x14ac:dyDescent="0.25">
      <c r="A2933"/>
    </row>
    <row r="2934" spans="1:1" ht="15" customHeight="1" x14ac:dyDescent="0.25">
      <c r="A2934"/>
    </row>
    <row r="2935" spans="1:1" ht="15" customHeight="1" x14ac:dyDescent="0.25">
      <c r="A2935"/>
    </row>
    <row r="2936" spans="1:1" ht="15" customHeight="1" x14ac:dyDescent="0.25">
      <c r="A2936"/>
    </row>
    <row r="2937" spans="1:1" ht="15" customHeight="1" x14ac:dyDescent="0.25">
      <c r="A2937"/>
    </row>
    <row r="2938" spans="1:1" ht="15" customHeight="1" x14ac:dyDescent="0.25">
      <c r="A2938"/>
    </row>
    <row r="2939" spans="1:1" ht="15" customHeight="1" x14ac:dyDescent="0.25">
      <c r="A2939"/>
    </row>
    <row r="2940" spans="1:1" ht="15" customHeight="1" x14ac:dyDescent="0.25">
      <c r="A2940"/>
    </row>
    <row r="2941" spans="1:1" ht="15" customHeight="1" x14ac:dyDescent="0.25">
      <c r="A2941"/>
    </row>
    <row r="2942" spans="1:1" ht="15" customHeight="1" x14ac:dyDescent="0.25">
      <c r="A2942"/>
    </row>
    <row r="2943" spans="1:1" ht="15" customHeight="1" x14ac:dyDescent="0.25">
      <c r="A2943"/>
    </row>
    <row r="2944" spans="1:1" ht="15" customHeight="1" x14ac:dyDescent="0.25">
      <c r="A2944"/>
    </row>
    <row r="2945" spans="1:1" ht="15" customHeight="1" x14ac:dyDescent="0.25">
      <c r="A2945"/>
    </row>
    <row r="2946" spans="1:1" ht="15" customHeight="1" x14ac:dyDescent="0.25">
      <c r="A2946"/>
    </row>
    <row r="2947" spans="1:1" ht="15" customHeight="1" x14ac:dyDescent="0.25">
      <c r="A2947"/>
    </row>
    <row r="2948" spans="1:1" ht="15" customHeight="1" x14ac:dyDescent="0.25">
      <c r="A2948"/>
    </row>
    <row r="2949" spans="1:1" ht="15" customHeight="1" x14ac:dyDescent="0.25">
      <c r="A2949"/>
    </row>
    <row r="2950" spans="1:1" ht="15" customHeight="1" x14ac:dyDescent="0.25">
      <c r="A2950"/>
    </row>
    <row r="2951" spans="1:1" ht="15" customHeight="1" x14ac:dyDescent="0.25">
      <c r="A2951"/>
    </row>
    <row r="2952" spans="1:1" ht="15" customHeight="1" x14ac:dyDescent="0.25">
      <c r="A2952"/>
    </row>
    <row r="2953" spans="1:1" ht="15" customHeight="1" x14ac:dyDescent="0.25">
      <c r="A2953"/>
    </row>
    <row r="2954" spans="1:1" ht="15" customHeight="1" x14ac:dyDescent="0.25">
      <c r="A2954"/>
    </row>
    <row r="2955" spans="1:1" ht="15" customHeight="1" x14ac:dyDescent="0.25">
      <c r="A2955"/>
    </row>
    <row r="2956" spans="1:1" ht="15" customHeight="1" x14ac:dyDescent="0.25">
      <c r="A2956"/>
    </row>
    <row r="2957" spans="1:1" ht="15" customHeight="1" x14ac:dyDescent="0.25">
      <c r="A2957"/>
    </row>
    <row r="2958" spans="1:1" ht="15" customHeight="1" x14ac:dyDescent="0.25">
      <c r="A2958"/>
    </row>
    <row r="2959" spans="1:1" ht="15" customHeight="1" x14ac:dyDescent="0.25">
      <c r="A2959"/>
    </row>
    <row r="2960" spans="1:1" ht="15" customHeight="1" x14ac:dyDescent="0.25">
      <c r="A2960"/>
    </row>
    <row r="2961" spans="1:1" ht="15" customHeight="1" x14ac:dyDescent="0.25">
      <c r="A2961"/>
    </row>
    <row r="2962" spans="1:1" ht="15" customHeight="1" x14ac:dyDescent="0.25">
      <c r="A2962"/>
    </row>
    <row r="2963" spans="1:1" ht="15" customHeight="1" x14ac:dyDescent="0.25">
      <c r="A2963"/>
    </row>
    <row r="2964" spans="1:1" ht="15" customHeight="1" x14ac:dyDescent="0.25">
      <c r="A2964"/>
    </row>
    <row r="2965" spans="1:1" ht="15" customHeight="1" x14ac:dyDescent="0.25">
      <c r="A2965"/>
    </row>
    <row r="2966" spans="1:1" ht="15" customHeight="1" x14ac:dyDescent="0.25">
      <c r="A2966"/>
    </row>
    <row r="2967" spans="1:1" ht="15" customHeight="1" x14ac:dyDescent="0.25">
      <c r="A2967"/>
    </row>
    <row r="2968" spans="1:1" ht="15" customHeight="1" x14ac:dyDescent="0.25">
      <c r="A2968"/>
    </row>
    <row r="2969" spans="1:1" ht="15" customHeight="1" x14ac:dyDescent="0.25">
      <c r="A2969"/>
    </row>
    <row r="2970" spans="1:1" ht="15" customHeight="1" x14ac:dyDescent="0.25">
      <c r="A2970"/>
    </row>
    <row r="2971" spans="1:1" ht="15" customHeight="1" x14ac:dyDescent="0.25">
      <c r="A2971"/>
    </row>
    <row r="2972" spans="1:1" ht="15" customHeight="1" x14ac:dyDescent="0.25">
      <c r="A2972"/>
    </row>
    <row r="2973" spans="1:1" ht="15" customHeight="1" x14ac:dyDescent="0.25">
      <c r="A2973"/>
    </row>
    <row r="2974" spans="1:1" ht="15" customHeight="1" x14ac:dyDescent="0.25">
      <c r="A2974"/>
    </row>
    <row r="2975" spans="1:1" ht="15" customHeight="1" x14ac:dyDescent="0.25">
      <c r="A2975"/>
    </row>
    <row r="2976" spans="1:1" ht="15" customHeight="1" x14ac:dyDescent="0.25">
      <c r="A2976"/>
    </row>
    <row r="2977" spans="1:1" ht="15" customHeight="1" x14ac:dyDescent="0.25">
      <c r="A2977"/>
    </row>
    <row r="2978" spans="1:1" ht="15" customHeight="1" x14ac:dyDescent="0.25">
      <c r="A2978"/>
    </row>
    <row r="2979" spans="1:1" ht="15" customHeight="1" x14ac:dyDescent="0.25">
      <c r="A2979"/>
    </row>
    <row r="2980" spans="1:1" ht="15" customHeight="1" x14ac:dyDescent="0.25">
      <c r="A2980"/>
    </row>
    <row r="2981" spans="1:1" ht="15" customHeight="1" x14ac:dyDescent="0.25">
      <c r="A2981"/>
    </row>
    <row r="2982" spans="1:1" ht="15" customHeight="1" x14ac:dyDescent="0.25">
      <c r="A2982"/>
    </row>
    <row r="2983" spans="1:1" ht="15" customHeight="1" x14ac:dyDescent="0.25">
      <c r="A2983"/>
    </row>
    <row r="2984" spans="1:1" ht="15" customHeight="1" x14ac:dyDescent="0.25">
      <c r="A2984"/>
    </row>
    <row r="2985" spans="1:1" ht="15" customHeight="1" x14ac:dyDescent="0.25">
      <c r="A2985"/>
    </row>
    <row r="2986" spans="1:1" ht="15" customHeight="1" x14ac:dyDescent="0.25">
      <c r="A2986"/>
    </row>
    <row r="2987" spans="1:1" ht="15" customHeight="1" x14ac:dyDescent="0.25">
      <c r="A2987"/>
    </row>
    <row r="2988" spans="1:1" ht="15" customHeight="1" x14ac:dyDescent="0.25">
      <c r="A2988"/>
    </row>
    <row r="2989" spans="1:1" ht="15" customHeight="1" x14ac:dyDescent="0.25">
      <c r="A2989"/>
    </row>
    <row r="2990" spans="1:1" ht="15" customHeight="1" x14ac:dyDescent="0.25">
      <c r="A2990"/>
    </row>
    <row r="2991" spans="1:1" ht="15" customHeight="1" x14ac:dyDescent="0.25">
      <c r="A2991"/>
    </row>
    <row r="2992" spans="1:1" ht="15" customHeight="1" x14ac:dyDescent="0.25">
      <c r="A2992"/>
    </row>
    <row r="2993" spans="1:1" ht="15" customHeight="1" x14ac:dyDescent="0.25">
      <c r="A2993"/>
    </row>
    <row r="2994" spans="1:1" ht="15" customHeight="1" x14ac:dyDescent="0.25">
      <c r="A2994"/>
    </row>
    <row r="2995" spans="1:1" ht="15" customHeight="1" x14ac:dyDescent="0.25">
      <c r="A2995"/>
    </row>
    <row r="2996" spans="1:1" ht="15" customHeight="1" x14ac:dyDescent="0.25">
      <c r="A2996"/>
    </row>
    <row r="2997" spans="1:1" ht="15" customHeight="1" x14ac:dyDescent="0.25">
      <c r="A2997"/>
    </row>
    <row r="2998" spans="1:1" ht="15" customHeight="1" x14ac:dyDescent="0.25">
      <c r="A2998"/>
    </row>
    <row r="2999" spans="1:1" ht="15" customHeight="1" x14ac:dyDescent="0.25">
      <c r="A2999"/>
    </row>
    <row r="3000" spans="1:1" ht="15" customHeight="1" x14ac:dyDescent="0.25">
      <c r="A3000"/>
    </row>
    <row r="3001" spans="1:1" ht="15" customHeight="1" x14ac:dyDescent="0.25">
      <c r="A3001"/>
    </row>
    <row r="3002" spans="1:1" ht="15" customHeight="1" x14ac:dyDescent="0.25">
      <c r="A3002"/>
    </row>
    <row r="3003" spans="1:1" ht="15" customHeight="1" x14ac:dyDescent="0.25">
      <c r="A3003"/>
    </row>
    <row r="3004" spans="1:1" ht="15" customHeight="1" x14ac:dyDescent="0.25">
      <c r="A3004"/>
    </row>
    <row r="3005" spans="1:1" ht="15" customHeight="1" x14ac:dyDescent="0.25">
      <c r="A3005"/>
    </row>
    <row r="3006" spans="1:1" ht="15" customHeight="1" x14ac:dyDescent="0.25">
      <c r="A3006"/>
    </row>
    <row r="3007" spans="1:1" ht="15" customHeight="1" x14ac:dyDescent="0.25">
      <c r="A3007"/>
    </row>
    <row r="3008" spans="1:1" ht="15" customHeight="1" x14ac:dyDescent="0.25">
      <c r="A3008"/>
    </row>
    <row r="3009" spans="1:1" ht="15" customHeight="1" x14ac:dyDescent="0.25">
      <c r="A3009"/>
    </row>
    <row r="3010" spans="1:1" ht="15" customHeight="1" x14ac:dyDescent="0.25">
      <c r="A3010"/>
    </row>
    <row r="3011" spans="1:1" ht="15" customHeight="1" x14ac:dyDescent="0.25">
      <c r="A3011"/>
    </row>
    <row r="3012" spans="1:1" ht="15" customHeight="1" x14ac:dyDescent="0.25">
      <c r="A3012"/>
    </row>
    <row r="3013" spans="1:1" ht="15" customHeight="1" x14ac:dyDescent="0.25">
      <c r="A3013"/>
    </row>
    <row r="3014" spans="1:1" ht="15" customHeight="1" x14ac:dyDescent="0.25">
      <c r="A3014"/>
    </row>
    <row r="3015" spans="1:1" ht="15" customHeight="1" x14ac:dyDescent="0.25">
      <c r="A3015"/>
    </row>
    <row r="3016" spans="1:1" ht="15" customHeight="1" x14ac:dyDescent="0.25">
      <c r="A3016"/>
    </row>
    <row r="3017" spans="1:1" ht="15" customHeight="1" x14ac:dyDescent="0.25">
      <c r="A3017"/>
    </row>
    <row r="3018" spans="1:1" ht="15" customHeight="1" x14ac:dyDescent="0.25">
      <c r="A3018"/>
    </row>
    <row r="3019" spans="1:1" ht="15" customHeight="1" x14ac:dyDescent="0.25">
      <c r="A3019"/>
    </row>
    <row r="3020" spans="1:1" ht="15" customHeight="1" x14ac:dyDescent="0.25">
      <c r="A3020"/>
    </row>
    <row r="3021" spans="1:1" ht="15" customHeight="1" x14ac:dyDescent="0.25">
      <c r="A3021"/>
    </row>
    <row r="3022" spans="1:1" ht="15" customHeight="1" x14ac:dyDescent="0.25">
      <c r="A3022"/>
    </row>
    <row r="3023" spans="1:1" ht="15" customHeight="1" x14ac:dyDescent="0.25">
      <c r="A3023"/>
    </row>
    <row r="3024" spans="1:1" ht="15" customHeight="1" x14ac:dyDescent="0.25">
      <c r="A3024"/>
    </row>
    <row r="3025" spans="1:1" ht="15" customHeight="1" x14ac:dyDescent="0.25">
      <c r="A3025"/>
    </row>
    <row r="3026" spans="1:1" ht="15" customHeight="1" x14ac:dyDescent="0.25">
      <c r="A3026"/>
    </row>
    <row r="3027" spans="1:1" ht="15" customHeight="1" x14ac:dyDescent="0.25">
      <c r="A3027"/>
    </row>
    <row r="3028" spans="1:1" ht="15" customHeight="1" x14ac:dyDescent="0.25">
      <c r="A3028"/>
    </row>
    <row r="3029" spans="1:1" ht="15" customHeight="1" x14ac:dyDescent="0.25">
      <c r="A3029"/>
    </row>
    <row r="3030" spans="1:1" ht="15" customHeight="1" x14ac:dyDescent="0.25">
      <c r="A3030"/>
    </row>
    <row r="3031" spans="1:1" ht="15" customHeight="1" x14ac:dyDescent="0.25">
      <c r="A3031"/>
    </row>
    <row r="3032" spans="1:1" ht="15" customHeight="1" x14ac:dyDescent="0.25">
      <c r="A3032"/>
    </row>
    <row r="3033" spans="1:1" ht="15" customHeight="1" x14ac:dyDescent="0.25">
      <c r="A3033"/>
    </row>
    <row r="3034" spans="1:1" ht="15" customHeight="1" x14ac:dyDescent="0.25">
      <c r="A3034"/>
    </row>
    <row r="3035" spans="1:1" ht="15" customHeight="1" x14ac:dyDescent="0.25">
      <c r="A3035"/>
    </row>
    <row r="3036" spans="1:1" ht="15" customHeight="1" x14ac:dyDescent="0.25">
      <c r="A3036"/>
    </row>
    <row r="3037" spans="1:1" ht="15" customHeight="1" x14ac:dyDescent="0.25">
      <c r="A3037"/>
    </row>
    <row r="3038" spans="1:1" ht="15" customHeight="1" x14ac:dyDescent="0.25">
      <c r="A3038"/>
    </row>
    <row r="3039" spans="1:1" ht="15" customHeight="1" x14ac:dyDescent="0.25">
      <c r="A3039"/>
    </row>
    <row r="3040" spans="1:1" ht="15" customHeight="1" x14ac:dyDescent="0.25">
      <c r="A3040"/>
    </row>
    <row r="3041" spans="1:1" ht="15" customHeight="1" x14ac:dyDescent="0.25">
      <c r="A3041"/>
    </row>
    <row r="3042" spans="1:1" ht="15" customHeight="1" x14ac:dyDescent="0.25">
      <c r="A3042"/>
    </row>
    <row r="3043" spans="1:1" ht="15" customHeight="1" x14ac:dyDescent="0.25">
      <c r="A3043"/>
    </row>
    <row r="3044" spans="1:1" ht="15" customHeight="1" x14ac:dyDescent="0.25">
      <c r="A3044"/>
    </row>
    <row r="3045" spans="1:1" ht="15" customHeight="1" x14ac:dyDescent="0.25">
      <c r="A3045"/>
    </row>
    <row r="3046" spans="1:1" ht="15" customHeight="1" x14ac:dyDescent="0.25">
      <c r="A3046"/>
    </row>
    <row r="3047" spans="1:1" ht="15" customHeight="1" x14ac:dyDescent="0.25">
      <c r="A3047"/>
    </row>
    <row r="3048" spans="1:1" ht="15" customHeight="1" x14ac:dyDescent="0.25">
      <c r="A3048"/>
    </row>
    <row r="3049" spans="1:1" ht="15" customHeight="1" x14ac:dyDescent="0.25">
      <c r="A3049"/>
    </row>
    <row r="3050" spans="1:1" ht="15" customHeight="1" x14ac:dyDescent="0.25">
      <c r="A3050"/>
    </row>
    <row r="3051" spans="1:1" ht="15" customHeight="1" x14ac:dyDescent="0.25">
      <c r="A3051"/>
    </row>
    <row r="3052" spans="1:1" ht="15" customHeight="1" x14ac:dyDescent="0.25">
      <c r="A3052"/>
    </row>
    <row r="3053" spans="1:1" ht="15" customHeight="1" x14ac:dyDescent="0.25">
      <c r="A3053"/>
    </row>
    <row r="3054" spans="1:1" ht="15" customHeight="1" x14ac:dyDescent="0.25">
      <c r="A3054"/>
    </row>
    <row r="3055" spans="1:1" ht="15" customHeight="1" x14ac:dyDescent="0.25">
      <c r="A3055"/>
    </row>
    <row r="3056" spans="1:1" ht="15" customHeight="1" x14ac:dyDescent="0.25">
      <c r="A3056"/>
    </row>
    <row r="3057" spans="1:1" ht="15" customHeight="1" x14ac:dyDescent="0.25">
      <c r="A3057"/>
    </row>
    <row r="3058" spans="1:1" ht="15" customHeight="1" x14ac:dyDescent="0.25">
      <c r="A3058"/>
    </row>
    <row r="3059" spans="1:1" ht="15" customHeight="1" x14ac:dyDescent="0.25">
      <c r="A3059"/>
    </row>
    <row r="3060" spans="1:1" ht="15" customHeight="1" x14ac:dyDescent="0.25">
      <c r="A3060"/>
    </row>
    <row r="3061" spans="1:1" ht="15" customHeight="1" x14ac:dyDescent="0.25">
      <c r="A3061"/>
    </row>
    <row r="3062" spans="1:1" ht="15" customHeight="1" x14ac:dyDescent="0.25">
      <c r="A3062"/>
    </row>
    <row r="3063" spans="1:1" ht="15" customHeight="1" x14ac:dyDescent="0.25">
      <c r="A3063"/>
    </row>
    <row r="3064" spans="1:1" ht="15" customHeight="1" x14ac:dyDescent="0.25">
      <c r="A3064"/>
    </row>
    <row r="3065" spans="1:1" ht="15" customHeight="1" x14ac:dyDescent="0.25">
      <c r="A3065"/>
    </row>
    <row r="3066" spans="1:1" ht="15" customHeight="1" x14ac:dyDescent="0.25">
      <c r="A3066"/>
    </row>
    <row r="3067" spans="1:1" ht="15" customHeight="1" x14ac:dyDescent="0.25">
      <c r="A3067"/>
    </row>
    <row r="3068" spans="1:1" ht="15" customHeight="1" x14ac:dyDescent="0.25">
      <c r="A3068"/>
    </row>
    <row r="3069" spans="1:1" ht="15" customHeight="1" x14ac:dyDescent="0.25">
      <c r="A3069"/>
    </row>
    <row r="3070" spans="1:1" ht="15" customHeight="1" x14ac:dyDescent="0.25">
      <c r="A3070"/>
    </row>
    <row r="3071" spans="1:1" ht="15" customHeight="1" x14ac:dyDescent="0.25">
      <c r="A3071"/>
    </row>
    <row r="3072" spans="1:1" ht="15" customHeight="1" x14ac:dyDescent="0.25">
      <c r="A3072"/>
    </row>
    <row r="3073" spans="1:1" ht="15" customHeight="1" x14ac:dyDescent="0.25">
      <c r="A3073"/>
    </row>
    <row r="3074" spans="1:1" ht="15" customHeight="1" x14ac:dyDescent="0.25">
      <c r="A3074"/>
    </row>
    <row r="3075" spans="1:1" ht="15" customHeight="1" x14ac:dyDescent="0.25">
      <c r="A3075"/>
    </row>
    <row r="3076" spans="1:1" ht="15" customHeight="1" x14ac:dyDescent="0.25">
      <c r="A3076"/>
    </row>
    <row r="3077" spans="1:1" ht="15" customHeight="1" x14ac:dyDescent="0.25">
      <c r="A3077"/>
    </row>
    <row r="3078" spans="1:1" ht="15" customHeight="1" x14ac:dyDescent="0.25">
      <c r="A3078"/>
    </row>
    <row r="3079" spans="1:1" ht="15" customHeight="1" x14ac:dyDescent="0.25">
      <c r="A3079"/>
    </row>
    <row r="3080" spans="1:1" ht="15" customHeight="1" x14ac:dyDescent="0.25">
      <c r="A3080"/>
    </row>
    <row r="3081" spans="1:1" ht="15" customHeight="1" x14ac:dyDescent="0.25">
      <c r="A3081"/>
    </row>
    <row r="3082" spans="1:1" ht="15" customHeight="1" x14ac:dyDescent="0.25">
      <c r="A3082"/>
    </row>
    <row r="3083" spans="1:1" ht="15" customHeight="1" x14ac:dyDescent="0.25">
      <c r="A3083"/>
    </row>
    <row r="3084" spans="1:1" ht="15" customHeight="1" x14ac:dyDescent="0.25">
      <c r="A3084"/>
    </row>
    <row r="3085" spans="1:1" ht="15" customHeight="1" x14ac:dyDescent="0.25">
      <c r="A3085"/>
    </row>
    <row r="3086" spans="1:1" ht="15" customHeight="1" x14ac:dyDescent="0.25">
      <c r="A3086"/>
    </row>
    <row r="3087" spans="1:1" ht="15" customHeight="1" x14ac:dyDescent="0.25">
      <c r="A3087"/>
    </row>
    <row r="3088" spans="1:1" ht="15" customHeight="1" x14ac:dyDescent="0.25">
      <c r="A3088"/>
    </row>
    <row r="3089" spans="1:1" ht="15" customHeight="1" x14ac:dyDescent="0.25">
      <c r="A3089"/>
    </row>
    <row r="3090" spans="1:1" ht="15" customHeight="1" x14ac:dyDescent="0.25">
      <c r="A3090"/>
    </row>
    <row r="3091" spans="1:1" ht="15" customHeight="1" x14ac:dyDescent="0.25">
      <c r="A3091"/>
    </row>
    <row r="3092" spans="1:1" ht="15" customHeight="1" x14ac:dyDescent="0.25">
      <c r="A3092"/>
    </row>
    <row r="3093" spans="1:1" ht="15" customHeight="1" x14ac:dyDescent="0.25">
      <c r="A3093"/>
    </row>
    <row r="3094" spans="1:1" ht="15" customHeight="1" x14ac:dyDescent="0.25">
      <c r="A3094"/>
    </row>
    <row r="3095" spans="1:1" ht="15" customHeight="1" x14ac:dyDescent="0.25">
      <c r="A3095"/>
    </row>
    <row r="3096" spans="1:1" ht="15" customHeight="1" x14ac:dyDescent="0.25">
      <c r="A3096"/>
    </row>
    <row r="3097" spans="1:1" ht="15" customHeight="1" x14ac:dyDescent="0.25">
      <c r="A3097"/>
    </row>
    <row r="3098" spans="1:1" ht="15" customHeight="1" x14ac:dyDescent="0.25">
      <c r="A3098"/>
    </row>
    <row r="3099" spans="1:1" ht="15" customHeight="1" x14ac:dyDescent="0.25">
      <c r="A3099"/>
    </row>
    <row r="3100" spans="1:1" ht="15" customHeight="1" x14ac:dyDescent="0.25">
      <c r="A3100"/>
    </row>
    <row r="3101" spans="1:1" ht="15" customHeight="1" x14ac:dyDescent="0.25">
      <c r="A3101"/>
    </row>
    <row r="3102" spans="1:1" ht="15" customHeight="1" x14ac:dyDescent="0.25">
      <c r="A3102"/>
    </row>
    <row r="3103" spans="1:1" ht="15" customHeight="1" x14ac:dyDescent="0.25">
      <c r="A3103"/>
    </row>
    <row r="3104" spans="1:1" ht="15" customHeight="1" x14ac:dyDescent="0.25">
      <c r="A3104"/>
    </row>
    <row r="3105" spans="1:1" ht="15" customHeight="1" x14ac:dyDescent="0.25">
      <c r="A3105"/>
    </row>
    <row r="3106" spans="1:1" ht="15" customHeight="1" x14ac:dyDescent="0.25">
      <c r="A3106"/>
    </row>
    <row r="3107" spans="1:1" ht="15" customHeight="1" x14ac:dyDescent="0.25">
      <c r="A3107"/>
    </row>
    <row r="3108" spans="1:1" ht="15" customHeight="1" x14ac:dyDescent="0.25">
      <c r="A3108"/>
    </row>
    <row r="3109" spans="1:1" ht="15" customHeight="1" x14ac:dyDescent="0.25">
      <c r="A3109"/>
    </row>
    <row r="3110" spans="1:1" ht="15" customHeight="1" x14ac:dyDescent="0.25">
      <c r="A3110"/>
    </row>
    <row r="3111" spans="1:1" ht="15" customHeight="1" x14ac:dyDescent="0.25">
      <c r="A3111"/>
    </row>
    <row r="3112" spans="1:1" ht="15" customHeight="1" x14ac:dyDescent="0.25">
      <c r="A3112"/>
    </row>
    <row r="3113" spans="1:1" ht="15" customHeight="1" x14ac:dyDescent="0.25">
      <c r="A3113"/>
    </row>
    <row r="3114" spans="1:1" ht="15" customHeight="1" x14ac:dyDescent="0.25">
      <c r="A3114"/>
    </row>
    <row r="3115" spans="1:1" ht="15" customHeight="1" x14ac:dyDescent="0.25">
      <c r="A3115"/>
    </row>
    <row r="3116" spans="1:1" ht="15" customHeight="1" x14ac:dyDescent="0.25">
      <c r="A3116"/>
    </row>
    <row r="3117" spans="1:1" ht="15" customHeight="1" x14ac:dyDescent="0.25">
      <c r="A3117"/>
    </row>
    <row r="3118" spans="1:1" ht="15" customHeight="1" x14ac:dyDescent="0.25">
      <c r="A3118"/>
    </row>
    <row r="3119" spans="1:1" ht="15" customHeight="1" x14ac:dyDescent="0.25">
      <c r="A3119"/>
    </row>
    <row r="3120" spans="1:1" ht="15" customHeight="1" x14ac:dyDescent="0.25">
      <c r="A3120"/>
    </row>
    <row r="3121" spans="1:1" ht="15" customHeight="1" x14ac:dyDescent="0.25">
      <c r="A3121"/>
    </row>
    <row r="3122" spans="1:1" ht="15" customHeight="1" x14ac:dyDescent="0.25">
      <c r="A3122"/>
    </row>
    <row r="3123" spans="1:1" ht="15" customHeight="1" x14ac:dyDescent="0.25">
      <c r="A3123"/>
    </row>
    <row r="3124" spans="1:1" ht="15" customHeight="1" x14ac:dyDescent="0.25">
      <c r="A3124"/>
    </row>
    <row r="3125" spans="1:1" ht="15" customHeight="1" x14ac:dyDescent="0.25">
      <c r="A3125"/>
    </row>
    <row r="3126" spans="1:1" ht="15" customHeight="1" x14ac:dyDescent="0.25">
      <c r="A3126"/>
    </row>
    <row r="3127" spans="1:1" ht="15" customHeight="1" x14ac:dyDescent="0.25">
      <c r="A3127"/>
    </row>
    <row r="3128" spans="1:1" ht="15" customHeight="1" x14ac:dyDescent="0.25">
      <c r="A3128"/>
    </row>
    <row r="3129" spans="1:1" ht="15" customHeight="1" x14ac:dyDescent="0.25">
      <c r="A3129"/>
    </row>
    <row r="3130" spans="1:1" ht="15" customHeight="1" x14ac:dyDescent="0.25">
      <c r="A3130"/>
    </row>
    <row r="3131" spans="1:1" ht="15" customHeight="1" x14ac:dyDescent="0.25">
      <c r="A3131"/>
    </row>
    <row r="3132" spans="1:1" ht="15" customHeight="1" x14ac:dyDescent="0.25">
      <c r="A3132"/>
    </row>
    <row r="3133" spans="1:1" ht="15" customHeight="1" x14ac:dyDescent="0.25">
      <c r="A3133"/>
    </row>
    <row r="3134" spans="1:1" ht="15" customHeight="1" x14ac:dyDescent="0.25">
      <c r="A3134"/>
    </row>
    <row r="3135" spans="1:1" ht="15" customHeight="1" x14ac:dyDescent="0.25">
      <c r="A3135"/>
    </row>
    <row r="3136" spans="1:1" ht="15" customHeight="1" x14ac:dyDescent="0.25">
      <c r="A3136"/>
    </row>
    <row r="3137" spans="1:1" ht="15" customHeight="1" x14ac:dyDescent="0.25">
      <c r="A3137"/>
    </row>
    <row r="3138" spans="1:1" ht="15" customHeight="1" x14ac:dyDescent="0.25">
      <c r="A3138"/>
    </row>
    <row r="3139" spans="1:1" ht="15" customHeight="1" x14ac:dyDescent="0.25">
      <c r="A3139"/>
    </row>
    <row r="3140" spans="1:1" ht="15" customHeight="1" x14ac:dyDescent="0.25">
      <c r="A3140"/>
    </row>
    <row r="3141" spans="1:1" ht="15" customHeight="1" x14ac:dyDescent="0.25">
      <c r="A3141"/>
    </row>
    <row r="3142" spans="1:1" ht="15" customHeight="1" x14ac:dyDescent="0.25">
      <c r="A3142"/>
    </row>
    <row r="3143" spans="1:1" ht="15" customHeight="1" x14ac:dyDescent="0.25">
      <c r="A3143"/>
    </row>
    <row r="3144" spans="1:1" ht="15" customHeight="1" x14ac:dyDescent="0.25">
      <c r="A3144"/>
    </row>
    <row r="3145" spans="1:1" ht="15" customHeight="1" x14ac:dyDescent="0.25">
      <c r="A3145"/>
    </row>
    <row r="3146" spans="1:1" ht="15" customHeight="1" x14ac:dyDescent="0.25">
      <c r="A3146"/>
    </row>
    <row r="3147" spans="1:1" ht="15" customHeight="1" x14ac:dyDescent="0.25">
      <c r="A3147"/>
    </row>
    <row r="3148" spans="1:1" ht="15" customHeight="1" x14ac:dyDescent="0.25">
      <c r="A3148"/>
    </row>
    <row r="3149" spans="1:1" ht="15" customHeight="1" x14ac:dyDescent="0.25">
      <c r="A3149"/>
    </row>
    <row r="3150" spans="1:1" ht="15" customHeight="1" x14ac:dyDescent="0.25">
      <c r="A3150"/>
    </row>
    <row r="3151" spans="1:1" ht="15" customHeight="1" x14ac:dyDescent="0.25">
      <c r="A3151"/>
    </row>
    <row r="3152" spans="1:1" ht="15" customHeight="1" x14ac:dyDescent="0.25">
      <c r="A3152"/>
    </row>
    <row r="3153" spans="1:1" ht="15" customHeight="1" x14ac:dyDescent="0.25">
      <c r="A3153"/>
    </row>
    <row r="3154" spans="1:1" ht="15" customHeight="1" x14ac:dyDescent="0.25">
      <c r="A3154"/>
    </row>
    <row r="3155" spans="1:1" ht="15" customHeight="1" x14ac:dyDescent="0.25">
      <c r="A3155"/>
    </row>
    <row r="3156" spans="1:1" ht="15" customHeight="1" x14ac:dyDescent="0.25">
      <c r="A3156"/>
    </row>
    <row r="3157" spans="1:1" ht="15" customHeight="1" x14ac:dyDescent="0.25">
      <c r="A3157"/>
    </row>
    <row r="3158" spans="1:1" ht="15" customHeight="1" x14ac:dyDescent="0.25">
      <c r="A3158"/>
    </row>
    <row r="3159" spans="1:1" ht="15" customHeight="1" x14ac:dyDescent="0.25">
      <c r="A3159"/>
    </row>
    <row r="3160" spans="1:1" ht="15" customHeight="1" x14ac:dyDescent="0.25">
      <c r="A3160"/>
    </row>
    <row r="3161" spans="1:1" ht="15" customHeight="1" x14ac:dyDescent="0.25">
      <c r="A3161"/>
    </row>
    <row r="3162" spans="1:1" ht="15" customHeight="1" x14ac:dyDescent="0.25">
      <c r="A3162"/>
    </row>
    <row r="3163" spans="1:1" ht="15" customHeight="1" x14ac:dyDescent="0.25">
      <c r="A3163"/>
    </row>
    <row r="3164" spans="1:1" ht="15" customHeight="1" x14ac:dyDescent="0.25">
      <c r="A3164"/>
    </row>
    <row r="3165" spans="1:1" ht="15" customHeight="1" x14ac:dyDescent="0.25">
      <c r="A3165"/>
    </row>
    <row r="3166" spans="1:1" ht="15" customHeight="1" x14ac:dyDescent="0.25">
      <c r="A3166"/>
    </row>
    <row r="3167" spans="1:1" ht="15" customHeight="1" x14ac:dyDescent="0.25">
      <c r="A3167"/>
    </row>
    <row r="3168" spans="1:1" ht="15" customHeight="1" x14ac:dyDescent="0.25">
      <c r="A3168"/>
    </row>
    <row r="3169" spans="1:1" ht="15" customHeight="1" x14ac:dyDescent="0.25">
      <c r="A3169"/>
    </row>
    <row r="3170" spans="1:1" ht="15" customHeight="1" x14ac:dyDescent="0.25">
      <c r="A3170"/>
    </row>
    <row r="3171" spans="1:1" ht="15" customHeight="1" x14ac:dyDescent="0.25">
      <c r="A3171"/>
    </row>
    <row r="3172" spans="1:1" ht="15" customHeight="1" x14ac:dyDescent="0.25">
      <c r="A3172"/>
    </row>
    <row r="3173" spans="1:1" ht="15" customHeight="1" x14ac:dyDescent="0.25">
      <c r="A3173"/>
    </row>
    <row r="3174" spans="1:1" ht="15" customHeight="1" x14ac:dyDescent="0.25">
      <c r="A3174"/>
    </row>
    <row r="3175" spans="1:1" ht="15" customHeight="1" x14ac:dyDescent="0.25">
      <c r="A3175"/>
    </row>
    <row r="3176" spans="1:1" ht="15" customHeight="1" x14ac:dyDescent="0.25">
      <c r="A3176"/>
    </row>
    <row r="3177" spans="1:1" ht="15" customHeight="1" x14ac:dyDescent="0.25">
      <c r="A3177"/>
    </row>
    <row r="3178" spans="1:1" ht="15" customHeight="1" x14ac:dyDescent="0.25">
      <c r="A3178"/>
    </row>
    <row r="3179" spans="1:1" ht="15" customHeight="1" x14ac:dyDescent="0.25">
      <c r="A3179"/>
    </row>
    <row r="3180" spans="1:1" ht="15" customHeight="1" x14ac:dyDescent="0.25">
      <c r="A3180"/>
    </row>
    <row r="3181" spans="1:1" ht="15" customHeight="1" x14ac:dyDescent="0.25">
      <c r="A3181"/>
    </row>
    <row r="3182" spans="1:1" ht="15" customHeight="1" x14ac:dyDescent="0.25">
      <c r="A3182"/>
    </row>
    <row r="3183" spans="1:1" ht="15" customHeight="1" x14ac:dyDescent="0.25">
      <c r="A3183"/>
    </row>
    <row r="3184" spans="1:1" ht="15" customHeight="1" x14ac:dyDescent="0.25">
      <c r="A3184"/>
    </row>
    <row r="3185" spans="1:1" ht="15" customHeight="1" x14ac:dyDescent="0.25">
      <c r="A3185"/>
    </row>
    <row r="3186" spans="1:1" ht="15" customHeight="1" x14ac:dyDescent="0.25">
      <c r="A3186"/>
    </row>
    <row r="3187" spans="1:1" ht="15" customHeight="1" x14ac:dyDescent="0.25">
      <c r="A3187"/>
    </row>
    <row r="3188" spans="1:1" ht="15" customHeight="1" x14ac:dyDescent="0.25">
      <c r="A3188"/>
    </row>
    <row r="3189" spans="1:1" ht="15" customHeight="1" x14ac:dyDescent="0.25">
      <c r="A3189"/>
    </row>
    <row r="3190" spans="1:1" ht="15" customHeight="1" x14ac:dyDescent="0.25">
      <c r="A3190"/>
    </row>
    <row r="3191" spans="1:1" ht="15" customHeight="1" x14ac:dyDescent="0.25">
      <c r="A3191"/>
    </row>
    <row r="3192" spans="1:1" ht="15" customHeight="1" x14ac:dyDescent="0.25">
      <c r="A3192"/>
    </row>
    <row r="3193" spans="1:1" ht="15" customHeight="1" x14ac:dyDescent="0.25">
      <c r="A3193"/>
    </row>
    <row r="3194" spans="1:1" ht="15" customHeight="1" x14ac:dyDescent="0.25">
      <c r="A3194"/>
    </row>
    <row r="3195" spans="1:1" ht="15" customHeight="1" x14ac:dyDescent="0.25">
      <c r="A3195"/>
    </row>
    <row r="3196" spans="1:1" ht="15" customHeight="1" x14ac:dyDescent="0.25">
      <c r="A3196"/>
    </row>
    <row r="3197" spans="1:1" ht="15" customHeight="1" x14ac:dyDescent="0.25">
      <c r="A3197"/>
    </row>
    <row r="3198" spans="1:1" ht="15" customHeight="1" x14ac:dyDescent="0.25">
      <c r="A3198"/>
    </row>
    <row r="3199" spans="1:1" ht="15" customHeight="1" x14ac:dyDescent="0.25">
      <c r="A3199"/>
    </row>
    <row r="3200" spans="1:1" ht="15" customHeight="1" x14ac:dyDescent="0.25">
      <c r="A3200"/>
    </row>
    <row r="3201" spans="1:1" ht="15" customHeight="1" x14ac:dyDescent="0.25">
      <c r="A3201"/>
    </row>
    <row r="3202" spans="1:1" ht="15" customHeight="1" x14ac:dyDescent="0.25">
      <c r="A3202"/>
    </row>
    <row r="3203" spans="1:1" ht="15" customHeight="1" x14ac:dyDescent="0.25">
      <c r="A3203"/>
    </row>
    <row r="3204" spans="1:1" ht="15" customHeight="1" x14ac:dyDescent="0.25">
      <c r="A3204"/>
    </row>
    <row r="3205" spans="1:1" ht="15" customHeight="1" x14ac:dyDescent="0.25">
      <c r="A3205"/>
    </row>
    <row r="3206" spans="1:1" ht="15" customHeight="1" x14ac:dyDescent="0.25">
      <c r="A3206"/>
    </row>
    <row r="3207" spans="1:1" ht="15" customHeight="1" x14ac:dyDescent="0.25">
      <c r="A3207"/>
    </row>
    <row r="3208" spans="1:1" ht="15" customHeight="1" x14ac:dyDescent="0.25">
      <c r="A3208"/>
    </row>
    <row r="3209" spans="1:1" ht="15" customHeight="1" x14ac:dyDescent="0.25">
      <c r="A3209"/>
    </row>
    <row r="3210" spans="1:1" ht="15" customHeight="1" x14ac:dyDescent="0.25">
      <c r="A3210"/>
    </row>
    <row r="3211" spans="1:1" ht="15" customHeight="1" x14ac:dyDescent="0.25">
      <c r="A3211"/>
    </row>
    <row r="3212" spans="1:1" ht="15" customHeight="1" x14ac:dyDescent="0.25">
      <c r="A3212"/>
    </row>
    <row r="3213" spans="1:1" ht="15" customHeight="1" x14ac:dyDescent="0.25">
      <c r="A3213"/>
    </row>
    <row r="3214" spans="1:1" ht="15" customHeight="1" x14ac:dyDescent="0.25">
      <c r="A3214"/>
    </row>
    <row r="3215" spans="1:1" ht="15" customHeight="1" x14ac:dyDescent="0.25">
      <c r="A3215"/>
    </row>
    <row r="3216" spans="1:1" ht="15" customHeight="1" x14ac:dyDescent="0.25">
      <c r="A3216"/>
    </row>
    <row r="3217" spans="1:1" ht="15" customHeight="1" x14ac:dyDescent="0.25">
      <c r="A3217"/>
    </row>
    <row r="3218" spans="1:1" ht="15" customHeight="1" x14ac:dyDescent="0.25">
      <c r="A3218"/>
    </row>
    <row r="3219" spans="1:1" ht="15" customHeight="1" x14ac:dyDescent="0.25">
      <c r="A3219"/>
    </row>
    <row r="3220" spans="1:1" ht="15" customHeight="1" x14ac:dyDescent="0.25">
      <c r="A3220"/>
    </row>
    <row r="3221" spans="1:1" ht="15" customHeight="1" x14ac:dyDescent="0.25">
      <c r="A3221"/>
    </row>
    <row r="3222" spans="1:1" ht="15" customHeight="1" x14ac:dyDescent="0.25">
      <c r="A3222"/>
    </row>
    <row r="3223" spans="1:1" ht="15" customHeight="1" x14ac:dyDescent="0.25">
      <c r="A3223"/>
    </row>
    <row r="3224" spans="1:1" ht="15" customHeight="1" x14ac:dyDescent="0.25">
      <c r="A3224"/>
    </row>
    <row r="3225" spans="1:1" ht="15" customHeight="1" x14ac:dyDescent="0.25">
      <c r="A3225"/>
    </row>
    <row r="3226" spans="1:1" ht="15" customHeight="1" x14ac:dyDescent="0.25">
      <c r="A3226"/>
    </row>
    <row r="3227" spans="1:1" ht="15" customHeight="1" x14ac:dyDescent="0.25">
      <c r="A3227"/>
    </row>
    <row r="3228" spans="1:1" ht="15" customHeight="1" x14ac:dyDescent="0.25">
      <c r="A3228"/>
    </row>
    <row r="3229" spans="1:1" ht="15" customHeight="1" x14ac:dyDescent="0.25">
      <c r="A3229"/>
    </row>
    <row r="3230" spans="1:1" ht="15" customHeight="1" x14ac:dyDescent="0.25">
      <c r="A3230"/>
    </row>
    <row r="3231" spans="1:1" ht="15" customHeight="1" x14ac:dyDescent="0.25">
      <c r="A3231"/>
    </row>
    <row r="3232" spans="1:1" ht="15" customHeight="1" x14ac:dyDescent="0.25">
      <c r="A3232"/>
    </row>
    <row r="3233" spans="1:1" ht="15" customHeight="1" x14ac:dyDescent="0.25">
      <c r="A3233"/>
    </row>
    <row r="3234" spans="1:1" ht="15" customHeight="1" x14ac:dyDescent="0.25">
      <c r="A3234"/>
    </row>
    <row r="3235" spans="1:1" ht="15" customHeight="1" x14ac:dyDescent="0.25">
      <c r="A3235"/>
    </row>
    <row r="3236" spans="1:1" ht="15" customHeight="1" x14ac:dyDescent="0.25">
      <c r="A3236"/>
    </row>
    <row r="3237" spans="1:1" ht="15" customHeight="1" x14ac:dyDescent="0.25">
      <c r="A3237"/>
    </row>
    <row r="3238" spans="1:1" ht="15" customHeight="1" x14ac:dyDescent="0.25">
      <c r="A3238"/>
    </row>
    <row r="3239" spans="1:1" ht="15" customHeight="1" x14ac:dyDescent="0.25">
      <c r="A3239"/>
    </row>
    <row r="3240" spans="1:1" ht="15" customHeight="1" x14ac:dyDescent="0.25">
      <c r="A3240"/>
    </row>
    <row r="3241" spans="1:1" ht="15" customHeight="1" x14ac:dyDescent="0.25">
      <c r="A3241"/>
    </row>
    <row r="3242" spans="1:1" ht="15" customHeight="1" x14ac:dyDescent="0.25">
      <c r="A3242"/>
    </row>
    <row r="3243" spans="1:1" ht="15" customHeight="1" x14ac:dyDescent="0.25">
      <c r="A3243"/>
    </row>
    <row r="3244" spans="1:1" ht="15" customHeight="1" x14ac:dyDescent="0.25">
      <c r="A3244"/>
    </row>
    <row r="3245" spans="1:1" ht="15" customHeight="1" x14ac:dyDescent="0.25">
      <c r="A3245"/>
    </row>
    <row r="3246" spans="1:1" ht="15" customHeight="1" x14ac:dyDescent="0.25">
      <c r="A3246"/>
    </row>
    <row r="3247" spans="1:1" ht="15" customHeight="1" x14ac:dyDescent="0.25">
      <c r="A3247"/>
    </row>
    <row r="3248" spans="1:1" ht="15" customHeight="1" x14ac:dyDescent="0.25">
      <c r="A3248"/>
    </row>
    <row r="3249" spans="1:1" ht="15" customHeight="1" x14ac:dyDescent="0.25">
      <c r="A3249"/>
    </row>
    <row r="3250" spans="1:1" ht="15" customHeight="1" x14ac:dyDescent="0.25">
      <c r="A3250"/>
    </row>
    <row r="3251" spans="1:1" ht="15" customHeight="1" x14ac:dyDescent="0.25">
      <c r="A3251"/>
    </row>
    <row r="3252" spans="1:1" ht="15" customHeight="1" x14ac:dyDescent="0.25">
      <c r="A3252"/>
    </row>
    <row r="3253" spans="1:1" ht="15" customHeight="1" x14ac:dyDescent="0.25">
      <c r="A3253"/>
    </row>
    <row r="3254" spans="1:1" ht="15" customHeight="1" x14ac:dyDescent="0.25">
      <c r="A3254"/>
    </row>
    <row r="3255" spans="1:1" ht="15" customHeight="1" x14ac:dyDescent="0.25">
      <c r="A3255"/>
    </row>
    <row r="3256" spans="1:1" ht="15" customHeight="1" x14ac:dyDescent="0.25">
      <c r="A3256"/>
    </row>
    <row r="3257" spans="1:1" ht="15" customHeight="1" x14ac:dyDescent="0.25">
      <c r="A3257"/>
    </row>
    <row r="3258" spans="1:1" ht="15" customHeight="1" x14ac:dyDescent="0.25">
      <c r="A3258"/>
    </row>
    <row r="3259" spans="1:1" ht="15" customHeight="1" x14ac:dyDescent="0.25">
      <c r="A3259"/>
    </row>
    <row r="3260" spans="1:1" ht="15" customHeight="1" x14ac:dyDescent="0.25">
      <c r="A3260"/>
    </row>
    <row r="3261" spans="1:1" ht="15" customHeight="1" x14ac:dyDescent="0.25">
      <c r="A3261"/>
    </row>
    <row r="3262" spans="1:1" ht="15" customHeight="1" x14ac:dyDescent="0.25">
      <c r="A3262"/>
    </row>
    <row r="3263" spans="1:1" ht="15" customHeight="1" x14ac:dyDescent="0.25">
      <c r="A3263"/>
    </row>
    <row r="3264" spans="1:1" ht="15" customHeight="1" x14ac:dyDescent="0.25">
      <c r="A3264"/>
    </row>
    <row r="3265" spans="1:1" ht="15" customHeight="1" x14ac:dyDescent="0.25">
      <c r="A3265"/>
    </row>
    <row r="3266" spans="1:1" ht="15" customHeight="1" x14ac:dyDescent="0.25">
      <c r="A3266"/>
    </row>
    <row r="3267" spans="1:1" ht="15" customHeight="1" x14ac:dyDescent="0.25">
      <c r="A3267"/>
    </row>
    <row r="3268" spans="1:1" ht="15" customHeight="1" x14ac:dyDescent="0.25">
      <c r="A3268"/>
    </row>
    <row r="3269" spans="1:1" ht="15" customHeight="1" x14ac:dyDescent="0.25">
      <c r="A3269"/>
    </row>
    <row r="3270" spans="1:1" ht="15" customHeight="1" x14ac:dyDescent="0.25">
      <c r="A3270"/>
    </row>
    <row r="3271" spans="1:1" ht="15" customHeight="1" x14ac:dyDescent="0.25">
      <c r="A3271"/>
    </row>
    <row r="3272" spans="1:1" ht="15" customHeight="1" x14ac:dyDescent="0.25">
      <c r="A3272"/>
    </row>
    <row r="3273" spans="1:1" ht="15" customHeight="1" x14ac:dyDescent="0.25">
      <c r="A3273"/>
    </row>
    <row r="3274" spans="1:1" ht="15" customHeight="1" x14ac:dyDescent="0.25">
      <c r="A3274"/>
    </row>
    <row r="3275" spans="1:1" ht="15" customHeight="1" x14ac:dyDescent="0.25">
      <c r="A3275"/>
    </row>
    <row r="3276" spans="1:1" ht="15" customHeight="1" x14ac:dyDescent="0.25">
      <c r="A3276"/>
    </row>
    <row r="3277" spans="1:1" ht="15" customHeight="1" x14ac:dyDescent="0.25">
      <c r="A3277"/>
    </row>
    <row r="3278" spans="1:1" ht="15" customHeight="1" x14ac:dyDescent="0.25">
      <c r="A3278"/>
    </row>
    <row r="3279" spans="1:1" ht="15" customHeight="1" x14ac:dyDescent="0.25">
      <c r="A3279"/>
    </row>
    <row r="3280" spans="1:1" ht="15" customHeight="1" x14ac:dyDescent="0.25">
      <c r="A3280"/>
    </row>
    <row r="3281" spans="1:1" ht="15" customHeight="1" x14ac:dyDescent="0.25">
      <c r="A3281"/>
    </row>
    <row r="3282" spans="1:1" ht="15" customHeight="1" x14ac:dyDescent="0.25">
      <c r="A3282"/>
    </row>
    <row r="3283" spans="1:1" ht="15" customHeight="1" x14ac:dyDescent="0.25">
      <c r="A3283"/>
    </row>
    <row r="3284" spans="1:1" ht="15" customHeight="1" x14ac:dyDescent="0.25">
      <c r="A3284"/>
    </row>
    <row r="3285" spans="1:1" ht="15" customHeight="1" x14ac:dyDescent="0.25">
      <c r="A3285"/>
    </row>
    <row r="3286" spans="1:1" ht="15" customHeight="1" x14ac:dyDescent="0.25">
      <c r="A3286"/>
    </row>
    <row r="3287" spans="1:1" ht="15" customHeight="1" x14ac:dyDescent="0.25">
      <c r="A3287"/>
    </row>
    <row r="3288" spans="1:1" ht="15" customHeight="1" x14ac:dyDescent="0.25">
      <c r="A3288"/>
    </row>
    <row r="3289" spans="1:1" ht="15" customHeight="1" x14ac:dyDescent="0.25">
      <c r="A3289"/>
    </row>
    <row r="3290" spans="1:1" ht="15" customHeight="1" x14ac:dyDescent="0.25">
      <c r="A3290"/>
    </row>
    <row r="3291" spans="1:1" ht="15" customHeight="1" x14ac:dyDescent="0.25">
      <c r="A3291"/>
    </row>
    <row r="3292" spans="1:1" ht="15" customHeight="1" x14ac:dyDescent="0.25">
      <c r="A3292"/>
    </row>
    <row r="3293" spans="1:1" ht="15" customHeight="1" x14ac:dyDescent="0.25">
      <c r="A3293"/>
    </row>
    <row r="3294" spans="1:1" ht="15" customHeight="1" x14ac:dyDescent="0.25">
      <c r="A3294"/>
    </row>
    <row r="3295" spans="1:1" ht="15" customHeight="1" x14ac:dyDescent="0.25">
      <c r="A3295"/>
    </row>
    <row r="3296" spans="1:1" ht="15" customHeight="1" x14ac:dyDescent="0.25">
      <c r="A3296"/>
    </row>
    <row r="3297" spans="1:1" ht="15" customHeight="1" x14ac:dyDescent="0.25">
      <c r="A3297"/>
    </row>
    <row r="3298" spans="1:1" ht="15" customHeight="1" x14ac:dyDescent="0.25">
      <c r="A3298"/>
    </row>
    <row r="3299" spans="1:1" ht="15" customHeight="1" x14ac:dyDescent="0.25">
      <c r="A3299"/>
    </row>
    <row r="3300" spans="1:1" ht="15" customHeight="1" x14ac:dyDescent="0.25">
      <c r="A3300"/>
    </row>
    <row r="3301" spans="1:1" ht="15" customHeight="1" x14ac:dyDescent="0.25">
      <c r="A3301"/>
    </row>
    <row r="3302" spans="1:1" ht="15" customHeight="1" x14ac:dyDescent="0.25">
      <c r="A3302"/>
    </row>
    <row r="3303" spans="1:1" ht="15" customHeight="1" x14ac:dyDescent="0.25">
      <c r="A3303"/>
    </row>
    <row r="3304" spans="1:1" ht="15" customHeight="1" x14ac:dyDescent="0.25">
      <c r="A3304"/>
    </row>
    <row r="3305" spans="1:1" ht="15" customHeight="1" x14ac:dyDescent="0.25">
      <c r="A3305"/>
    </row>
    <row r="3306" spans="1:1" ht="15" customHeight="1" x14ac:dyDescent="0.25">
      <c r="A3306"/>
    </row>
    <row r="3307" spans="1:1" ht="15" customHeight="1" x14ac:dyDescent="0.25">
      <c r="A3307"/>
    </row>
    <row r="3308" spans="1:1" ht="15" customHeight="1" x14ac:dyDescent="0.25">
      <c r="A3308"/>
    </row>
    <row r="3309" spans="1:1" ht="15" customHeight="1" x14ac:dyDescent="0.25">
      <c r="A3309"/>
    </row>
    <row r="3310" spans="1:1" ht="15" customHeight="1" x14ac:dyDescent="0.25">
      <c r="A3310"/>
    </row>
    <row r="3311" spans="1:1" ht="15" customHeight="1" x14ac:dyDescent="0.25">
      <c r="A3311"/>
    </row>
    <row r="3312" spans="1:1" ht="15" customHeight="1" x14ac:dyDescent="0.25">
      <c r="A3312"/>
    </row>
    <row r="3313" spans="1:1" ht="15" customHeight="1" x14ac:dyDescent="0.25">
      <c r="A3313"/>
    </row>
    <row r="3314" spans="1:1" ht="15" customHeight="1" x14ac:dyDescent="0.25">
      <c r="A3314"/>
    </row>
    <row r="3315" spans="1:1" ht="15" customHeight="1" x14ac:dyDescent="0.25">
      <c r="A3315"/>
    </row>
    <row r="3316" spans="1:1" ht="15" customHeight="1" x14ac:dyDescent="0.25">
      <c r="A3316"/>
    </row>
    <row r="3317" spans="1:1" ht="15" customHeight="1" x14ac:dyDescent="0.25">
      <c r="A3317"/>
    </row>
    <row r="3318" spans="1:1" ht="15" customHeight="1" x14ac:dyDescent="0.25">
      <c r="A3318"/>
    </row>
    <row r="3319" spans="1:1" ht="15" customHeight="1" x14ac:dyDescent="0.25">
      <c r="A3319"/>
    </row>
    <row r="3320" spans="1:1" ht="15" customHeight="1" x14ac:dyDescent="0.25">
      <c r="A3320"/>
    </row>
    <row r="3321" spans="1:1" ht="15" customHeight="1" x14ac:dyDescent="0.25">
      <c r="A3321"/>
    </row>
    <row r="3322" spans="1:1" ht="15" customHeight="1" x14ac:dyDescent="0.25">
      <c r="A3322"/>
    </row>
    <row r="3323" spans="1:1" ht="15" customHeight="1" x14ac:dyDescent="0.25">
      <c r="A3323"/>
    </row>
    <row r="3324" spans="1:1" ht="15" customHeight="1" x14ac:dyDescent="0.25">
      <c r="A3324"/>
    </row>
    <row r="3325" spans="1:1" ht="15" customHeight="1" x14ac:dyDescent="0.25">
      <c r="A3325"/>
    </row>
    <row r="3326" spans="1:1" ht="15" customHeight="1" x14ac:dyDescent="0.25">
      <c r="A3326"/>
    </row>
    <row r="3327" spans="1:1" ht="15" customHeight="1" x14ac:dyDescent="0.25">
      <c r="A3327"/>
    </row>
    <row r="3328" spans="1:1" ht="15" customHeight="1" x14ac:dyDescent="0.25">
      <c r="A3328"/>
    </row>
    <row r="3329" spans="1:1" ht="15" customHeight="1" x14ac:dyDescent="0.25">
      <c r="A3329"/>
    </row>
    <row r="3330" spans="1:1" ht="15" customHeight="1" x14ac:dyDescent="0.25">
      <c r="A3330"/>
    </row>
    <row r="3331" spans="1:1" ht="15" customHeight="1" x14ac:dyDescent="0.25">
      <c r="A3331"/>
    </row>
    <row r="3332" spans="1:1" ht="15" customHeight="1" x14ac:dyDescent="0.25">
      <c r="A3332"/>
    </row>
    <row r="3333" spans="1:1" ht="15" customHeight="1" x14ac:dyDescent="0.25">
      <c r="A3333"/>
    </row>
    <row r="3334" spans="1:1" ht="15" customHeight="1" x14ac:dyDescent="0.25">
      <c r="A3334"/>
    </row>
    <row r="3335" spans="1:1" ht="15" customHeight="1" x14ac:dyDescent="0.25">
      <c r="A3335"/>
    </row>
    <row r="3336" spans="1:1" ht="15" customHeight="1" x14ac:dyDescent="0.25">
      <c r="A3336"/>
    </row>
    <row r="3337" spans="1:1" ht="15" customHeight="1" x14ac:dyDescent="0.25">
      <c r="A3337"/>
    </row>
    <row r="3338" spans="1:1" ht="15" customHeight="1" x14ac:dyDescent="0.25">
      <c r="A3338"/>
    </row>
    <row r="3339" spans="1:1" ht="15" customHeight="1" x14ac:dyDescent="0.25">
      <c r="A3339"/>
    </row>
    <row r="3340" spans="1:1" ht="15" customHeight="1" x14ac:dyDescent="0.25">
      <c r="A3340"/>
    </row>
    <row r="3341" spans="1:1" ht="15" customHeight="1" x14ac:dyDescent="0.25">
      <c r="A3341"/>
    </row>
    <row r="3342" spans="1:1" ht="15" customHeight="1" x14ac:dyDescent="0.25">
      <c r="A3342"/>
    </row>
    <row r="3343" spans="1:1" ht="15" customHeight="1" x14ac:dyDescent="0.25">
      <c r="A3343"/>
    </row>
    <row r="3344" spans="1:1" ht="15" customHeight="1" x14ac:dyDescent="0.25">
      <c r="A3344"/>
    </row>
    <row r="3345" spans="1:1" ht="15" customHeight="1" x14ac:dyDescent="0.25">
      <c r="A3345"/>
    </row>
    <row r="3346" spans="1:1" ht="15" customHeight="1" x14ac:dyDescent="0.25">
      <c r="A3346"/>
    </row>
    <row r="3347" spans="1:1" ht="15" customHeight="1" x14ac:dyDescent="0.25">
      <c r="A3347"/>
    </row>
    <row r="3348" spans="1:1" ht="15" customHeight="1" x14ac:dyDescent="0.25">
      <c r="A3348"/>
    </row>
    <row r="3349" spans="1:1" ht="15" customHeight="1" x14ac:dyDescent="0.25">
      <c r="A3349"/>
    </row>
    <row r="3350" spans="1:1" ht="15" customHeight="1" x14ac:dyDescent="0.25">
      <c r="A3350"/>
    </row>
    <row r="3351" spans="1:1" ht="15" customHeight="1" x14ac:dyDescent="0.25">
      <c r="A3351"/>
    </row>
    <row r="3352" spans="1:1" ht="15" customHeight="1" x14ac:dyDescent="0.25">
      <c r="A3352"/>
    </row>
    <row r="3353" spans="1:1" ht="15" customHeight="1" x14ac:dyDescent="0.25">
      <c r="A3353"/>
    </row>
    <row r="3354" spans="1:1" ht="15" customHeight="1" x14ac:dyDescent="0.25">
      <c r="A3354"/>
    </row>
    <row r="3355" spans="1:1" ht="15" customHeight="1" x14ac:dyDescent="0.25">
      <c r="A3355"/>
    </row>
    <row r="3356" spans="1:1" ht="15" customHeight="1" x14ac:dyDescent="0.25">
      <c r="A3356"/>
    </row>
    <row r="3357" spans="1:1" ht="15" customHeight="1" x14ac:dyDescent="0.25">
      <c r="A3357"/>
    </row>
    <row r="3358" spans="1:1" ht="15" customHeight="1" x14ac:dyDescent="0.25">
      <c r="A3358"/>
    </row>
    <row r="3359" spans="1:1" ht="15" customHeight="1" x14ac:dyDescent="0.25">
      <c r="A3359"/>
    </row>
    <row r="3360" spans="1:1" ht="15" customHeight="1" x14ac:dyDescent="0.25">
      <c r="A3360"/>
    </row>
    <row r="3361" spans="1:1" ht="15" customHeight="1" x14ac:dyDescent="0.25">
      <c r="A3361"/>
    </row>
    <row r="3362" spans="1:1" ht="15" customHeight="1" x14ac:dyDescent="0.25">
      <c r="A3362"/>
    </row>
    <row r="3363" spans="1:1" ht="15" customHeight="1" x14ac:dyDescent="0.25">
      <c r="A3363"/>
    </row>
    <row r="3364" spans="1:1" ht="15" customHeight="1" x14ac:dyDescent="0.25">
      <c r="A3364"/>
    </row>
    <row r="3365" spans="1:1" ht="15" customHeight="1" x14ac:dyDescent="0.25">
      <c r="A3365"/>
    </row>
    <row r="3366" spans="1:1" ht="15" customHeight="1" x14ac:dyDescent="0.25">
      <c r="A3366"/>
    </row>
    <row r="3367" spans="1:1" ht="15" customHeight="1" x14ac:dyDescent="0.25">
      <c r="A3367"/>
    </row>
    <row r="3368" spans="1:1" ht="15" customHeight="1" x14ac:dyDescent="0.25">
      <c r="A3368"/>
    </row>
    <row r="3369" spans="1:1" ht="15" customHeight="1" x14ac:dyDescent="0.25">
      <c r="A3369"/>
    </row>
    <row r="3370" spans="1:1" ht="15" customHeight="1" x14ac:dyDescent="0.25">
      <c r="A3370"/>
    </row>
    <row r="3371" spans="1:1" ht="15" customHeight="1" x14ac:dyDescent="0.25">
      <c r="A3371"/>
    </row>
    <row r="3372" spans="1:1" ht="15" customHeight="1" x14ac:dyDescent="0.25">
      <c r="A3372"/>
    </row>
    <row r="3373" spans="1:1" ht="15" customHeight="1" x14ac:dyDescent="0.25">
      <c r="A3373"/>
    </row>
    <row r="3374" spans="1:1" ht="15" customHeight="1" x14ac:dyDescent="0.25">
      <c r="A3374"/>
    </row>
    <row r="3375" spans="1:1" ht="15" customHeight="1" x14ac:dyDescent="0.25">
      <c r="A3375"/>
    </row>
    <row r="3376" spans="1:1" ht="15" customHeight="1" x14ac:dyDescent="0.25">
      <c r="A3376"/>
    </row>
    <row r="3377" spans="1:1" ht="15" customHeight="1" x14ac:dyDescent="0.25">
      <c r="A3377"/>
    </row>
    <row r="3378" spans="1:1" ht="15" customHeight="1" x14ac:dyDescent="0.25">
      <c r="A3378"/>
    </row>
    <row r="3379" spans="1:1" ht="15" customHeight="1" x14ac:dyDescent="0.25">
      <c r="A3379"/>
    </row>
    <row r="3380" spans="1:1" ht="15" customHeight="1" x14ac:dyDescent="0.25">
      <c r="A3380"/>
    </row>
    <row r="3381" spans="1:1" ht="15" customHeight="1" x14ac:dyDescent="0.25">
      <c r="A3381"/>
    </row>
    <row r="3382" spans="1:1" ht="15" customHeight="1" x14ac:dyDescent="0.25">
      <c r="A3382"/>
    </row>
    <row r="3383" spans="1:1" ht="15" customHeight="1" x14ac:dyDescent="0.25">
      <c r="A3383"/>
    </row>
    <row r="3384" spans="1:1" ht="15" customHeight="1" x14ac:dyDescent="0.25">
      <c r="A3384"/>
    </row>
    <row r="3385" spans="1:1" ht="15" customHeight="1" x14ac:dyDescent="0.25">
      <c r="A3385"/>
    </row>
    <row r="3386" spans="1:1" ht="15" customHeight="1" x14ac:dyDescent="0.25">
      <c r="A3386"/>
    </row>
    <row r="3387" spans="1:1" ht="15" customHeight="1" x14ac:dyDescent="0.25">
      <c r="A3387"/>
    </row>
    <row r="3388" spans="1:1" ht="15" customHeight="1" x14ac:dyDescent="0.25">
      <c r="A3388"/>
    </row>
    <row r="3389" spans="1:1" ht="15" customHeight="1" x14ac:dyDescent="0.25">
      <c r="A3389"/>
    </row>
    <row r="3390" spans="1:1" ht="15" customHeight="1" x14ac:dyDescent="0.25">
      <c r="A3390"/>
    </row>
    <row r="3391" spans="1:1" ht="15" customHeight="1" x14ac:dyDescent="0.25">
      <c r="A3391"/>
    </row>
    <row r="3392" spans="1:1" ht="15" customHeight="1" x14ac:dyDescent="0.25">
      <c r="A3392"/>
    </row>
    <row r="3393" spans="1:1" ht="15" customHeight="1" x14ac:dyDescent="0.25">
      <c r="A3393"/>
    </row>
    <row r="3394" spans="1:1" ht="15" customHeight="1" x14ac:dyDescent="0.25">
      <c r="A3394"/>
    </row>
    <row r="3395" spans="1:1" ht="15" customHeight="1" x14ac:dyDescent="0.25">
      <c r="A3395"/>
    </row>
    <row r="3396" spans="1:1" ht="15" customHeight="1" x14ac:dyDescent="0.25">
      <c r="A3396"/>
    </row>
    <row r="3397" spans="1:1" ht="15" customHeight="1" x14ac:dyDescent="0.25">
      <c r="A3397"/>
    </row>
    <row r="3398" spans="1:1" ht="15" customHeight="1" x14ac:dyDescent="0.25">
      <c r="A3398"/>
    </row>
    <row r="3399" spans="1:1" ht="15" customHeight="1" x14ac:dyDescent="0.25">
      <c r="A3399"/>
    </row>
    <row r="3400" spans="1:1" ht="15" customHeight="1" x14ac:dyDescent="0.25">
      <c r="A3400"/>
    </row>
    <row r="3401" spans="1:1" ht="15" customHeight="1" x14ac:dyDescent="0.25">
      <c r="A3401"/>
    </row>
    <row r="3402" spans="1:1" ht="15" customHeight="1" x14ac:dyDescent="0.25">
      <c r="A3402"/>
    </row>
    <row r="3403" spans="1:1" ht="15" customHeight="1" x14ac:dyDescent="0.25">
      <c r="A3403"/>
    </row>
    <row r="3404" spans="1:1" ht="15" customHeight="1" x14ac:dyDescent="0.25">
      <c r="A3404"/>
    </row>
    <row r="3405" spans="1:1" ht="15" customHeight="1" x14ac:dyDescent="0.25">
      <c r="A3405"/>
    </row>
    <row r="3406" spans="1:1" ht="15" customHeight="1" x14ac:dyDescent="0.25">
      <c r="A3406"/>
    </row>
    <row r="3407" spans="1:1" ht="15" customHeight="1" x14ac:dyDescent="0.25">
      <c r="A3407"/>
    </row>
    <row r="3408" spans="1:1" ht="15" customHeight="1" x14ac:dyDescent="0.25">
      <c r="A3408"/>
    </row>
    <row r="3409" spans="1:1" ht="15" customHeight="1" x14ac:dyDescent="0.25">
      <c r="A3409"/>
    </row>
    <row r="3410" spans="1:1" ht="15" customHeight="1" x14ac:dyDescent="0.25">
      <c r="A3410"/>
    </row>
    <row r="3411" spans="1:1" ht="15" customHeight="1" x14ac:dyDescent="0.25">
      <c r="A3411"/>
    </row>
    <row r="3412" spans="1:1" ht="15" customHeight="1" x14ac:dyDescent="0.25">
      <c r="A3412"/>
    </row>
    <row r="3413" spans="1:1" ht="15" customHeight="1" x14ac:dyDescent="0.25">
      <c r="A3413"/>
    </row>
    <row r="3414" spans="1:1" ht="15" customHeight="1" x14ac:dyDescent="0.25">
      <c r="A3414"/>
    </row>
    <row r="3415" spans="1:1" ht="15" customHeight="1" x14ac:dyDescent="0.25">
      <c r="A3415"/>
    </row>
    <row r="3416" spans="1:1" ht="15" customHeight="1" x14ac:dyDescent="0.25">
      <c r="A3416"/>
    </row>
    <row r="3417" spans="1:1" ht="15" customHeight="1" x14ac:dyDescent="0.25">
      <c r="A3417"/>
    </row>
    <row r="3418" spans="1:1" ht="15" customHeight="1" x14ac:dyDescent="0.25">
      <c r="A3418"/>
    </row>
    <row r="3419" spans="1:1" ht="15" customHeight="1" x14ac:dyDescent="0.25">
      <c r="A3419"/>
    </row>
    <row r="3420" spans="1:1" ht="15" customHeight="1" x14ac:dyDescent="0.25">
      <c r="A3420"/>
    </row>
    <row r="3421" spans="1:1" ht="15" customHeight="1" x14ac:dyDescent="0.25">
      <c r="A3421"/>
    </row>
    <row r="3422" spans="1:1" ht="15" customHeight="1" x14ac:dyDescent="0.25">
      <c r="A3422"/>
    </row>
    <row r="3423" spans="1:1" ht="15" customHeight="1" x14ac:dyDescent="0.25">
      <c r="A3423"/>
    </row>
    <row r="3424" spans="1:1" ht="15" customHeight="1" x14ac:dyDescent="0.25">
      <c r="A3424"/>
    </row>
    <row r="3425" spans="1:1" ht="15" customHeight="1" x14ac:dyDescent="0.25">
      <c r="A3425"/>
    </row>
    <row r="3426" spans="1:1" ht="15" customHeight="1" x14ac:dyDescent="0.25">
      <c r="A3426"/>
    </row>
    <row r="3427" spans="1:1" ht="15" customHeight="1" x14ac:dyDescent="0.25">
      <c r="A3427"/>
    </row>
    <row r="3428" spans="1:1" ht="15" customHeight="1" x14ac:dyDescent="0.25">
      <c r="A3428"/>
    </row>
    <row r="3429" spans="1:1" ht="15" customHeight="1" x14ac:dyDescent="0.25">
      <c r="A3429"/>
    </row>
    <row r="3430" spans="1:1" ht="15" customHeight="1" x14ac:dyDescent="0.25">
      <c r="A3430"/>
    </row>
    <row r="3431" spans="1:1" ht="15" customHeight="1" x14ac:dyDescent="0.25">
      <c r="A3431"/>
    </row>
    <row r="3432" spans="1:1" ht="15" customHeight="1" x14ac:dyDescent="0.25">
      <c r="A3432"/>
    </row>
    <row r="3433" spans="1:1" ht="15" customHeight="1" x14ac:dyDescent="0.25">
      <c r="A3433"/>
    </row>
    <row r="3434" spans="1:1" ht="15" customHeight="1" x14ac:dyDescent="0.25">
      <c r="A3434"/>
    </row>
    <row r="3435" spans="1:1" ht="15" customHeight="1" x14ac:dyDescent="0.25">
      <c r="A3435"/>
    </row>
    <row r="3436" spans="1:1" ht="15" customHeight="1" x14ac:dyDescent="0.25">
      <c r="A3436"/>
    </row>
    <row r="3437" spans="1:1" ht="15" customHeight="1" x14ac:dyDescent="0.25">
      <c r="A3437"/>
    </row>
    <row r="3438" spans="1:1" ht="15" customHeight="1" x14ac:dyDescent="0.25">
      <c r="A3438"/>
    </row>
    <row r="3439" spans="1:1" ht="15" customHeight="1" x14ac:dyDescent="0.25">
      <c r="A3439"/>
    </row>
    <row r="3440" spans="1:1" ht="15" customHeight="1" x14ac:dyDescent="0.25">
      <c r="A3440"/>
    </row>
    <row r="3441" spans="1:1" ht="15" customHeight="1" x14ac:dyDescent="0.25">
      <c r="A3441"/>
    </row>
    <row r="3442" spans="1:1" ht="15" customHeight="1" x14ac:dyDescent="0.25">
      <c r="A3442"/>
    </row>
    <row r="3443" spans="1:1" ht="15" customHeight="1" x14ac:dyDescent="0.25">
      <c r="A3443"/>
    </row>
    <row r="3444" spans="1:1" ht="15" customHeight="1" x14ac:dyDescent="0.25">
      <c r="A3444"/>
    </row>
    <row r="3445" spans="1:1" ht="15" customHeight="1" x14ac:dyDescent="0.25">
      <c r="A3445"/>
    </row>
    <row r="3446" spans="1:1" ht="15" customHeight="1" x14ac:dyDescent="0.25">
      <c r="A3446"/>
    </row>
    <row r="3447" spans="1:1" ht="15" customHeight="1" x14ac:dyDescent="0.25">
      <c r="A3447"/>
    </row>
    <row r="3448" spans="1:1" ht="15" customHeight="1" x14ac:dyDescent="0.25">
      <c r="A3448"/>
    </row>
    <row r="3449" spans="1:1" ht="15" customHeight="1" x14ac:dyDescent="0.25">
      <c r="A3449"/>
    </row>
    <row r="3450" spans="1:1" ht="15" customHeight="1" x14ac:dyDescent="0.25">
      <c r="A3450"/>
    </row>
    <row r="3451" spans="1:1" ht="15" customHeight="1" x14ac:dyDescent="0.25">
      <c r="A3451"/>
    </row>
    <row r="3452" spans="1:1" ht="15" customHeight="1" x14ac:dyDescent="0.25">
      <c r="A3452"/>
    </row>
    <row r="3453" spans="1:1" ht="15" customHeight="1" x14ac:dyDescent="0.25">
      <c r="A3453"/>
    </row>
    <row r="3454" spans="1:1" ht="15" customHeight="1" x14ac:dyDescent="0.25">
      <c r="A3454"/>
    </row>
    <row r="3455" spans="1:1" ht="15" customHeight="1" x14ac:dyDescent="0.25">
      <c r="A3455"/>
    </row>
    <row r="3456" spans="1:1" ht="15" customHeight="1" x14ac:dyDescent="0.25">
      <c r="A3456"/>
    </row>
    <row r="3457" spans="1:1" ht="15" customHeight="1" x14ac:dyDescent="0.25">
      <c r="A3457"/>
    </row>
    <row r="3458" spans="1:1" ht="15" customHeight="1" x14ac:dyDescent="0.25">
      <c r="A3458"/>
    </row>
    <row r="3459" spans="1:1" ht="15" customHeight="1" x14ac:dyDescent="0.25">
      <c r="A3459"/>
    </row>
    <row r="3460" spans="1:1" ht="15" customHeight="1" x14ac:dyDescent="0.25">
      <c r="A3460"/>
    </row>
    <row r="3461" spans="1:1" ht="15" customHeight="1" x14ac:dyDescent="0.25">
      <c r="A3461"/>
    </row>
    <row r="3462" spans="1:1" ht="15" customHeight="1" x14ac:dyDescent="0.25">
      <c r="A3462"/>
    </row>
    <row r="3463" spans="1:1" ht="15" customHeight="1" x14ac:dyDescent="0.25">
      <c r="A3463"/>
    </row>
    <row r="3464" spans="1:1" ht="15" customHeight="1" x14ac:dyDescent="0.25">
      <c r="A3464"/>
    </row>
    <row r="3465" spans="1:1" ht="15" customHeight="1" x14ac:dyDescent="0.25">
      <c r="A3465"/>
    </row>
    <row r="3466" spans="1:1" ht="15" customHeight="1" x14ac:dyDescent="0.25">
      <c r="A3466"/>
    </row>
    <row r="3467" spans="1:1" ht="15" customHeight="1" x14ac:dyDescent="0.25">
      <c r="A3467"/>
    </row>
    <row r="3468" spans="1:1" ht="15" customHeight="1" x14ac:dyDescent="0.25">
      <c r="A3468"/>
    </row>
    <row r="3469" spans="1:1" ht="15" customHeight="1" x14ac:dyDescent="0.25">
      <c r="A3469"/>
    </row>
    <row r="3470" spans="1:1" ht="15" customHeight="1" x14ac:dyDescent="0.25">
      <c r="A3470"/>
    </row>
    <row r="3471" spans="1:1" ht="15" customHeight="1" x14ac:dyDescent="0.25">
      <c r="A3471"/>
    </row>
    <row r="3472" spans="1:1" ht="15" customHeight="1" x14ac:dyDescent="0.25">
      <c r="A3472"/>
    </row>
    <row r="3473" spans="1:1" ht="15" customHeight="1" x14ac:dyDescent="0.25">
      <c r="A3473"/>
    </row>
    <row r="3474" spans="1:1" ht="15" customHeight="1" x14ac:dyDescent="0.25">
      <c r="A3474"/>
    </row>
    <row r="3475" spans="1:1" ht="15" customHeight="1" x14ac:dyDescent="0.25">
      <c r="A3475"/>
    </row>
    <row r="3476" spans="1:1" ht="15" customHeight="1" x14ac:dyDescent="0.25">
      <c r="A3476"/>
    </row>
    <row r="3477" spans="1:1" ht="15" customHeight="1" x14ac:dyDescent="0.25">
      <c r="A3477"/>
    </row>
    <row r="3478" spans="1:1" ht="15" customHeight="1" x14ac:dyDescent="0.25">
      <c r="A3478"/>
    </row>
    <row r="3479" spans="1:1" ht="15" customHeight="1" x14ac:dyDescent="0.25">
      <c r="A3479"/>
    </row>
    <row r="3480" spans="1:1" ht="15" customHeight="1" x14ac:dyDescent="0.25">
      <c r="A3480"/>
    </row>
    <row r="3481" spans="1:1" ht="15" customHeight="1" x14ac:dyDescent="0.25">
      <c r="A3481"/>
    </row>
    <row r="3482" spans="1:1" ht="15" customHeight="1" x14ac:dyDescent="0.25">
      <c r="A3482"/>
    </row>
    <row r="3483" spans="1:1" ht="15" customHeight="1" x14ac:dyDescent="0.25">
      <c r="A3483"/>
    </row>
    <row r="3484" spans="1:1" ht="15" customHeight="1" x14ac:dyDescent="0.25">
      <c r="A3484"/>
    </row>
    <row r="3485" spans="1:1" ht="15" customHeight="1" x14ac:dyDescent="0.25">
      <c r="A3485"/>
    </row>
    <row r="3486" spans="1:1" ht="15" customHeight="1" x14ac:dyDescent="0.25">
      <c r="A3486"/>
    </row>
    <row r="3487" spans="1:1" ht="15" customHeight="1" x14ac:dyDescent="0.25">
      <c r="A3487"/>
    </row>
    <row r="3488" spans="1:1" ht="15" customHeight="1" x14ac:dyDescent="0.25">
      <c r="A3488"/>
    </row>
    <row r="3489" spans="1:1" ht="15" customHeight="1" x14ac:dyDescent="0.25">
      <c r="A3489"/>
    </row>
    <row r="3490" spans="1:1" ht="15" customHeight="1" x14ac:dyDescent="0.25">
      <c r="A3490"/>
    </row>
    <row r="3491" spans="1:1" ht="15" customHeight="1" x14ac:dyDescent="0.25">
      <c r="A3491"/>
    </row>
    <row r="3492" spans="1:1" ht="15" customHeight="1" x14ac:dyDescent="0.25">
      <c r="A3492"/>
    </row>
    <row r="3493" spans="1:1" ht="15" customHeight="1" x14ac:dyDescent="0.25">
      <c r="A3493"/>
    </row>
    <row r="3494" spans="1:1" ht="15" customHeight="1" x14ac:dyDescent="0.25">
      <c r="A3494"/>
    </row>
    <row r="3495" spans="1:1" ht="15" customHeight="1" x14ac:dyDescent="0.25">
      <c r="A3495"/>
    </row>
    <row r="3496" spans="1:1" ht="15" customHeight="1" x14ac:dyDescent="0.25">
      <c r="A3496"/>
    </row>
    <row r="3497" spans="1:1" ht="15" customHeight="1" x14ac:dyDescent="0.25">
      <c r="A3497"/>
    </row>
    <row r="3498" spans="1:1" ht="15" customHeight="1" x14ac:dyDescent="0.25">
      <c r="A3498"/>
    </row>
    <row r="3499" spans="1:1" ht="15" customHeight="1" x14ac:dyDescent="0.25">
      <c r="A3499"/>
    </row>
    <row r="3500" spans="1:1" ht="15" customHeight="1" x14ac:dyDescent="0.25">
      <c r="A3500"/>
    </row>
    <row r="3501" spans="1:1" ht="15" customHeight="1" x14ac:dyDescent="0.25">
      <c r="A3501"/>
    </row>
    <row r="3502" spans="1:1" ht="15" customHeight="1" x14ac:dyDescent="0.25">
      <c r="A3502"/>
    </row>
    <row r="3503" spans="1:1" ht="15" customHeight="1" x14ac:dyDescent="0.25">
      <c r="A3503"/>
    </row>
    <row r="3504" spans="1:1" ht="15" customHeight="1" x14ac:dyDescent="0.25">
      <c r="A3504"/>
    </row>
    <row r="3505" spans="1:1" ht="15" customHeight="1" x14ac:dyDescent="0.25">
      <c r="A3505"/>
    </row>
    <row r="3506" spans="1:1" ht="15" customHeight="1" x14ac:dyDescent="0.25">
      <c r="A3506"/>
    </row>
    <row r="3507" spans="1:1" ht="15" customHeight="1" x14ac:dyDescent="0.25">
      <c r="A3507"/>
    </row>
    <row r="3508" spans="1:1" ht="15" customHeight="1" x14ac:dyDescent="0.25">
      <c r="A3508"/>
    </row>
    <row r="3509" spans="1:1" ht="15" customHeight="1" x14ac:dyDescent="0.25">
      <c r="A3509"/>
    </row>
    <row r="3510" spans="1:1" ht="15" customHeight="1" x14ac:dyDescent="0.25">
      <c r="A3510"/>
    </row>
    <row r="3511" spans="1:1" ht="15" customHeight="1" x14ac:dyDescent="0.25">
      <c r="A3511"/>
    </row>
    <row r="3512" spans="1:1" ht="15" customHeight="1" x14ac:dyDescent="0.25">
      <c r="A3512"/>
    </row>
    <row r="3513" spans="1:1" ht="15" customHeight="1" x14ac:dyDescent="0.25">
      <c r="A3513"/>
    </row>
    <row r="3514" spans="1:1" ht="15" customHeight="1" x14ac:dyDescent="0.25">
      <c r="A3514"/>
    </row>
    <row r="3515" spans="1:1" ht="15" customHeight="1" x14ac:dyDescent="0.25">
      <c r="A3515"/>
    </row>
    <row r="3516" spans="1:1" ht="15" customHeight="1" x14ac:dyDescent="0.25">
      <c r="A3516"/>
    </row>
    <row r="3517" spans="1:1" ht="15" customHeight="1" x14ac:dyDescent="0.25">
      <c r="A3517"/>
    </row>
    <row r="3518" spans="1:1" ht="15" customHeight="1" x14ac:dyDescent="0.25">
      <c r="A3518"/>
    </row>
    <row r="3519" spans="1:1" ht="15" customHeight="1" x14ac:dyDescent="0.25">
      <c r="A3519"/>
    </row>
    <row r="3520" spans="1:1" ht="15" customHeight="1" x14ac:dyDescent="0.25">
      <c r="A3520"/>
    </row>
    <row r="3521" spans="1:1" ht="15" customHeight="1" x14ac:dyDescent="0.25">
      <c r="A3521"/>
    </row>
    <row r="3522" spans="1:1" ht="15" customHeight="1" x14ac:dyDescent="0.25">
      <c r="A3522"/>
    </row>
    <row r="3523" spans="1:1" ht="15" customHeight="1" x14ac:dyDescent="0.25">
      <c r="A3523"/>
    </row>
    <row r="3524" spans="1:1" ht="15" customHeight="1" x14ac:dyDescent="0.25">
      <c r="A3524"/>
    </row>
    <row r="3525" spans="1:1" ht="15" customHeight="1" x14ac:dyDescent="0.25">
      <c r="A3525"/>
    </row>
    <row r="3526" spans="1:1" ht="15" customHeight="1" x14ac:dyDescent="0.25">
      <c r="A3526"/>
    </row>
    <row r="3527" spans="1:1" ht="15" customHeight="1" x14ac:dyDescent="0.25">
      <c r="A3527"/>
    </row>
    <row r="3528" spans="1:1" ht="15" customHeight="1" x14ac:dyDescent="0.25">
      <c r="A3528"/>
    </row>
    <row r="3529" spans="1:1" ht="15" customHeight="1" x14ac:dyDescent="0.25">
      <c r="A3529"/>
    </row>
    <row r="3530" spans="1:1" ht="15" customHeight="1" x14ac:dyDescent="0.25">
      <c r="A3530"/>
    </row>
    <row r="3531" spans="1:1" ht="15" customHeight="1" x14ac:dyDescent="0.25">
      <c r="A3531"/>
    </row>
    <row r="3532" spans="1:1" ht="15" customHeight="1" x14ac:dyDescent="0.25">
      <c r="A3532"/>
    </row>
    <row r="3533" spans="1:1" ht="15" customHeight="1" x14ac:dyDescent="0.25">
      <c r="A3533"/>
    </row>
    <row r="3534" spans="1:1" ht="15" customHeight="1" x14ac:dyDescent="0.25">
      <c r="A3534"/>
    </row>
    <row r="3535" spans="1:1" ht="15" customHeight="1" x14ac:dyDescent="0.25">
      <c r="A3535"/>
    </row>
    <row r="3536" spans="1:1" ht="15" customHeight="1" x14ac:dyDescent="0.25">
      <c r="A3536"/>
    </row>
    <row r="3537" spans="1:1" ht="15" customHeight="1" x14ac:dyDescent="0.25">
      <c r="A3537"/>
    </row>
    <row r="3538" spans="1:1" ht="15" customHeight="1" x14ac:dyDescent="0.25">
      <c r="A3538"/>
    </row>
    <row r="3539" spans="1:1" ht="15" customHeight="1" x14ac:dyDescent="0.25">
      <c r="A3539"/>
    </row>
    <row r="3540" spans="1:1" ht="15" customHeight="1" x14ac:dyDescent="0.25">
      <c r="A3540"/>
    </row>
    <row r="3541" spans="1:1" ht="15" customHeight="1" x14ac:dyDescent="0.25">
      <c r="A3541"/>
    </row>
    <row r="3542" spans="1:1" ht="15" customHeight="1" x14ac:dyDescent="0.25">
      <c r="A3542"/>
    </row>
    <row r="3543" spans="1:1" ht="15" customHeight="1" x14ac:dyDescent="0.25">
      <c r="A3543"/>
    </row>
    <row r="3544" spans="1:1" ht="15" customHeight="1" x14ac:dyDescent="0.25">
      <c r="A3544"/>
    </row>
    <row r="3545" spans="1:1" ht="15" customHeight="1" x14ac:dyDescent="0.25">
      <c r="A3545"/>
    </row>
    <row r="3546" spans="1:1" ht="15" customHeight="1" x14ac:dyDescent="0.25">
      <c r="A3546"/>
    </row>
    <row r="3547" spans="1:1" ht="15" customHeight="1" x14ac:dyDescent="0.25">
      <c r="A3547"/>
    </row>
    <row r="3548" spans="1:1" ht="15" customHeight="1" x14ac:dyDescent="0.25">
      <c r="A3548"/>
    </row>
    <row r="3549" spans="1:1" ht="15" customHeight="1" x14ac:dyDescent="0.25">
      <c r="A3549"/>
    </row>
    <row r="3550" spans="1:1" ht="15" customHeight="1" x14ac:dyDescent="0.25">
      <c r="A3550"/>
    </row>
    <row r="3551" spans="1:1" ht="15" customHeight="1" x14ac:dyDescent="0.25">
      <c r="A3551"/>
    </row>
    <row r="3552" spans="1:1" ht="15" customHeight="1" x14ac:dyDescent="0.25">
      <c r="A3552"/>
    </row>
    <row r="3553" spans="1:1" ht="15" customHeight="1" x14ac:dyDescent="0.25">
      <c r="A3553"/>
    </row>
    <row r="3554" spans="1:1" ht="15" customHeight="1" x14ac:dyDescent="0.25">
      <c r="A3554"/>
    </row>
    <row r="3555" spans="1:1" ht="15" customHeight="1" x14ac:dyDescent="0.25">
      <c r="A3555"/>
    </row>
    <row r="3556" spans="1:1" ht="15" customHeight="1" x14ac:dyDescent="0.25">
      <c r="A3556"/>
    </row>
    <row r="3557" spans="1:1" ht="15" customHeight="1" x14ac:dyDescent="0.25">
      <c r="A3557"/>
    </row>
    <row r="3558" spans="1:1" ht="15" customHeight="1" x14ac:dyDescent="0.25">
      <c r="A3558"/>
    </row>
    <row r="3559" spans="1:1" ht="15" customHeight="1" x14ac:dyDescent="0.25">
      <c r="A3559"/>
    </row>
    <row r="3560" spans="1:1" ht="15" customHeight="1" x14ac:dyDescent="0.25">
      <c r="A3560"/>
    </row>
    <row r="3561" spans="1:1" ht="15" customHeight="1" x14ac:dyDescent="0.25">
      <c r="A3561"/>
    </row>
    <row r="3562" spans="1:1" ht="15" customHeight="1" x14ac:dyDescent="0.25">
      <c r="A3562"/>
    </row>
    <row r="3563" spans="1:1" ht="15" customHeight="1" x14ac:dyDescent="0.25">
      <c r="A3563"/>
    </row>
    <row r="3564" spans="1:1" ht="15" customHeight="1" x14ac:dyDescent="0.25">
      <c r="A3564"/>
    </row>
    <row r="3565" spans="1:1" ht="15" customHeight="1" x14ac:dyDescent="0.25">
      <c r="A3565"/>
    </row>
    <row r="3566" spans="1:1" ht="15" customHeight="1" x14ac:dyDescent="0.25">
      <c r="A3566"/>
    </row>
    <row r="3567" spans="1:1" ht="15" customHeight="1" x14ac:dyDescent="0.25">
      <c r="A3567"/>
    </row>
    <row r="3568" spans="1:1" ht="15" customHeight="1" x14ac:dyDescent="0.25">
      <c r="A3568"/>
    </row>
    <row r="3569" spans="1:1" ht="15" customHeight="1" x14ac:dyDescent="0.25">
      <c r="A3569"/>
    </row>
    <row r="3570" spans="1:1" ht="15" customHeight="1" x14ac:dyDescent="0.25">
      <c r="A3570"/>
    </row>
    <row r="3571" spans="1:1" ht="15" customHeight="1" x14ac:dyDescent="0.25">
      <c r="A3571"/>
    </row>
    <row r="3572" spans="1:1" ht="15" customHeight="1" x14ac:dyDescent="0.25">
      <c r="A3572"/>
    </row>
    <row r="3573" spans="1:1" ht="15" customHeight="1" x14ac:dyDescent="0.25">
      <c r="A3573"/>
    </row>
    <row r="3574" spans="1:1" ht="15" customHeight="1" x14ac:dyDescent="0.25">
      <c r="A3574"/>
    </row>
    <row r="3575" spans="1:1" ht="15" customHeight="1" x14ac:dyDescent="0.25">
      <c r="A3575"/>
    </row>
    <row r="3576" spans="1:1" ht="15" customHeight="1" x14ac:dyDescent="0.25">
      <c r="A3576"/>
    </row>
    <row r="3577" spans="1:1" ht="15" customHeight="1" x14ac:dyDescent="0.25">
      <c r="A3577"/>
    </row>
    <row r="3578" spans="1:1" ht="15" customHeight="1" x14ac:dyDescent="0.25">
      <c r="A3578"/>
    </row>
    <row r="3579" spans="1:1" ht="15" customHeight="1" x14ac:dyDescent="0.25">
      <c r="A3579"/>
    </row>
    <row r="3580" spans="1:1" ht="15" customHeight="1" x14ac:dyDescent="0.25">
      <c r="A3580"/>
    </row>
    <row r="3581" spans="1:1" ht="15" customHeight="1" x14ac:dyDescent="0.25">
      <c r="A3581"/>
    </row>
    <row r="3582" spans="1:1" ht="15" customHeight="1" x14ac:dyDescent="0.25">
      <c r="A3582"/>
    </row>
    <row r="3583" spans="1:1" ht="15" customHeight="1" x14ac:dyDescent="0.25">
      <c r="A3583"/>
    </row>
    <row r="3584" spans="1:1" ht="15" customHeight="1" x14ac:dyDescent="0.25">
      <c r="A3584"/>
    </row>
    <row r="3585" spans="1:1" ht="15" customHeight="1" x14ac:dyDescent="0.25">
      <c r="A3585"/>
    </row>
    <row r="3586" spans="1:1" ht="15" customHeight="1" x14ac:dyDescent="0.25">
      <c r="A3586"/>
    </row>
    <row r="3587" spans="1:1" ht="15" customHeight="1" x14ac:dyDescent="0.25">
      <c r="A3587"/>
    </row>
    <row r="3588" spans="1:1" ht="15" customHeight="1" x14ac:dyDescent="0.25">
      <c r="A3588"/>
    </row>
    <row r="3589" spans="1:1" ht="15" customHeight="1" x14ac:dyDescent="0.25">
      <c r="A3589"/>
    </row>
    <row r="3590" spans="1:1" ht="15" customHeight="1" x14ac:dyDescent="0.25">
      <c r="A3590"/>
    </row>
    <row r="3591" spans="1:1" ht="15" customHeight="1" x14ac:dyDescent="0.25">
      <c r="A3591"/>
    </row>
    <row r="3592" spans="1:1" ht="15" customHeight="1" x14ac:dyDescent="0.25">
      <c r="A3592"/>
    </row>
    <row r="3593" spans="1:1" ht="15" customHeight="1" x14ac:dyDescent="0.25">
      <c r="A3593"/>
    </row>
    <row r="3594" spans="1:1" ht="15" customHeight="1" x14ac:dyDescent="0.25">
      <c r="A3594"/>
    </row>
    <row r="3595" spans="1:1" ht="15" customHeight="1" x14ac:dyDescent="0.25">
      <c r="A3595"/>
    </row>
    <row r="3596" spans="1:1" ht="15" customHeight="1" x14ac:dyDescent="0.25">
      <c r="A3596"/>
    </row>
    <row r="3597" spans="1:1" ht="15" customHeight="1" x14ac:dyDescent="0.25">
      <c r="A3597"/>
    </row>
    <row r="3598" spans="1:1" ht="15" customHeight="1" x14ac:dyDescent="0.25">
      <c r="A3598"/>
    </row>
    <row r="3599" spans="1:1" ht="15" customHeight="1" x14ac:dyDescent="0.25">
      <c r="A3599"/>
    </row>
    <row r="3600" spans="1:1" ht="15" customHeight="1" x14ac:dyDescent="0.25">
      <c r="A3600"/>
    </row>
    <row r="3601" spans="1:1" ht="15" customHeight="1" x14ac:dyDescent="0.25">
      <c r="A3601"/>
    </row>
    <row r="3602" spans="1:1" ht="15" customHeight="1" x14ac:dyDescent="0.25">
      <c r="A3602"/>
    </row>
    <row r="3603" spans="1:1" ht="15" customHeight="1" x14ac:dyDescent="0.25">
      <c r="A3603"/>
    </row>
    <row r="3604" spans="1:1" ht="15" customHeight="1" x14ac:dyDescent="0.25">
      <c r="A3604"/>
    </row>
    <row r="3605" spans="1:1" ht="15" customHeight="1" x14ac:dyDescent="0.25">
      <c r="A3605"/>
    </row>
    <row r="3606" spans="1:1" ht="15" customHeight="1" x14ac:dyDescent="0.25">
      <c r="A3606"/>
    </row>
    <row r="3607" spans="1:1" ht="15" customHeight="1" x14ac:dyDescent="0.25">
      <c r="A3607"/>
    </row>
    <row r="3608" spans="1:1" ht="15" customHeight="1" x14ac:dyDescent="0.25">
      <c r="A3608"/>
    </row>
    <row r="3609" spans="1:1" ht="15" customHeight="1" x14ac:dyDescent="0.25">
      <c r="A3609"/>
    </row>
    <row r="3610" spans="1:1" ht="15" customHeight="1" x14ac:dyDescent="0.25">
      <c r="A3610"/>
    </row>
    <row r="3611" spans="1:1" ht="15" customHeight="1" x14ac:dyDescent="0.25">
      <c r="A3611"/>
    </row>
    <row r="3612" spans="1:1" ht="15" customHeight="1" x14ac:dyDescent="0.25">
      <c r="A3612"/>
    </row>
    <row r="3613" spans="1:1" ht="15" customHeight="1" x14ac:dyDescent="0.25">
      <c r="A3613"/>
    </row>
    <row r="3614" spans="1:1" ht="15" customHeight="1" x14ac:dyDescent="0.25">
      <c r="A3614"/>
    </row>
    <row r="3615" spans="1:1" ht="15" customHeight="1" x14ac:dyDescent="0.25">
      <c r="A3615"/>
    </row>
    <row r="3616" spans="1:1" ht="15" customHeight="1" x14ac:dyDescent="0.25">
      <c r="A3616"/>
    </row>
    <row r="3617" spans="1:1" ht="15" customHeight="1" x14ac:dyDescent="0.25">
      <c r="A3617"/>
    </row>
    <row r="3618" spans="1:1" ht="15" customHeight="1" x14ac:dyDescent="0.25">
      <c r="A3618"/>
    </row>
    <row r="3619" spans="1:1" ht="15" customHeight="1" x14ac:dyDescent="0.25">
      <c r="A3619"/>
    </row>
    <row r="3620" spans="1:1" ht="15" customHeight="1" x14ac:dyDescent="0.25">
      <c r="A3620"/>
    </row>
    <row r="3621" spans="1:1" ht="15" customHeight="1" x14ac:dyDescent="0.25">
      <c r="A3621"/>
    </row>
    <row r="3622" spans="1:1" ht="15" customHeight="1" x14ac:dyDescent="0.25">
      <c r="A3622"/>
    </row>
    <row r="3623" spans="1:1" ht="15" customHeight="1" x14ac:dyDescent="0.25">
      <c r="A3623"/>
    </row>
    <row r="3624" spans="1:1" ht="15" customHeight="1" x14ac:dyDescent="0.25">
      <c r="A3624"/>
    </row>
    <row r="3625" spans="1:1" ht="15" customHeight="1" x14ac:dyDescent="0.25">
      <c r="A3625"/>
    </row>
    <row r="3626" spans="1:1" ht="15" customHeight="1" x14ac:dyDescent="0.25">
      <c r="A3626"/>
    </row>
    <row r="3627" spans="1:1" ht="15" customHeight="1" x14ac:dyDescent="0.25">
      <c r="A3627"/>
    </row>
    <row r="3628" spans="1:1" ht="15" customHeight="1" x14ac:dyDescent="0.25">
      <c r="A3628"/>
    </row>
    <row r="3629" spans="1:1" ht="15" customHeight="1" x14ac:dyDescent="0.25">
      <c r="A3629"/>
    </row>
    <row r="3630" spans="1:1" ht="15" customHeight="1" x14ac:dyDescent="0.25">
      <c r="A3630"/>
    </row>
    <row r="3631" spans="1:1" ht="15" customHeight="1" x14ac:dyDescent="0.25">
      <c r="A3631"/>
    </row>
    <row r="3632" spans="1:1" ht="15" customHeight="1" x14ac:dyDescent="0.25">
      <c r="A3632"/>
    </row>
    <row r="3633" spans="1:1" ht="15" customHeight="1" x14ac:dyDescent="0.25">
      <c r="A3633"/>
    </row>
    <row r="3634" spans="1:1" ht="15" customHeight="1" x14ac:dyDescent="0.25">
      <c r="A3634"/>
    </row>
    <row r="3635" spans="1:1" ht="15" customHeight="1" x14ac:dyDescent="0.25">
      <c r="A3635"/>
    </row>
    <row r="3636" spans="1:1" ht="15" customHeight="1" x14ac:dyDescent="0.25">
      <c r="A3636"/>
    </row>
    <row r="3637" spans="1:1" ht="15" customHeight="1" x14ac:dyDescent="0.25">
      <c r="A3637"/>
    </row>
    <row r="3638" spans="1:1" ht="15" customHeight="1" x14ac:dyDescent="0.25">
      <c r="A3638"/>
    </row>
    <row r="3639" spans="1:1" ht="15" customHeight="1" x14ac:dyDescent="0.25">
      <c r="A3639"/>
    </row>
    <row r="3640" spans="1:1" ht="15" customHeight="1" x14ac:dyDescent="0.25">
      <c r="A3640"/>
    </row>
    <row r="3641" spans="1:1" ht="15" customHeight="1" x14ac:dyDescent="0.25">
      <c r="A3641"/>
    </row>
    <row r="3642" spans="1:1" ht="15" customHeight="1" x14ac:dyDescent="0.25">
      <c r="A3642"/>
    </row>
    <row r="3643" spans="1:1" ht="15" customHeight="1" x14ac:dyDescent="0.25">
      <c r="A3643"/>
    </row>
    <row r="3644" spans="1:1" ht="15" customHeight="1" x14ac:dyDescent="0.25">
      <c r="A3644"/>
    </row>
    <row r="3645" spans="1:1" ht="15" customHeight="1" x14ac:dyDescent="0.25">
      <c r="A3645"/>
    </row>
    <row r="3646" spans="1:1" ht="15" customHeight="1" x14ac:dyDescent="0.25">
      <c r="A3646"/>
    </row>
    <row r="3647" spans="1:1" ht="15" customHeight="1" x14ac:dyDescent="0.25">
      <c r="A3647"/>
    </row>
    <row r="3648" spans="1:1" ht="15" customHeight="1" x14ac:dyDescent="0.25">
      <c r="A3648"/>
    </row>
    <row r="3649" spans="1:1" ht="15" customHeight="1" x14ac:dyDescent="0.25">
      <c r="A3649"/>
    </row>
    <row r="3650" spans="1:1" ht="15" customHeight="1" x14ac:dyDescent="0.25">
      <c r="A3650"/>
    </row>
    <row r="3651" spans="1:1" ht="15" customHeight="1" x14ac:dyDescent="0.25">
      <c r="A3651"/>
    </row>
    <row r="3652" spans="1:1" ht="15" customHeight="1" x14ac:dyDescent="0.25">
      <c r="A3652"/>
    </row>
    <row r="3653" spans="1:1" ht="15" customHeight="1" x14ac:dyDescent="0.25">
      <c r="A3653"/>
    </row>
    <row r="3654" spans="1:1" ht="15" customHeight="1" x14ac:dyDescent="0.25">
      <c r="A3654"/>
    </row>
    <row r="3655" spans="1:1" ht="15" customHeight="1" x14ac:dyDescent="0.25">
      <c r="A3655"/>
    </row>
    <row r="3656" spans="1:1" ht="15" customHeight="1" x14ac:dyDescent="0.25">
      <c r="A3656"/>
    </row>
    <row r="3657" spans="1:1" ht="15" customHeight="1" x14ac:dyDescent="0.25">
      <c r="A3657"/>
    </row>
    <row r="3658" spans="1:1" ht="15" customHeight="1" x14ac:dyDescent="0.25">
      <c r="A3658"/>
    </row>
    <row r="3659" spans="1:1" ht="15" customHeight="1" x14ac:dyDescent="0.25">
      <c r="A3659"/>
    </row>
    <row r="3660" spans="1:1" ht="15" customHeight="1" x14ac:dyDescent="0.25">
      <c r="A3660"/>
    </row>
    <row r="3661" spans="1:1" ht="15" customHeight="1" x14ac:dyDescent="0.25">
      <c r="A3661"/>
    </row>
    <row r="3662" spans="1:1" ht="15" customHeight="1" x14ac:dyDescent="0.25">
      <c r="A3662"/>
    </row>
    <row r="3663" spans="1:1" ht="15" customHeight="1" x14ac:dyDescent="0.25">
      <c r="A3663"/>
    </row>
    <row r="3664" spans="1:1" ht="15" customHeight="1" x14ac:dyDescent="0.25">
      <c r="A3664"/>
    </row>
    <row r="3665" spans="1:1" ht="15" customHeight="1" x14ac:dyDescent="0.25">
      <c r="A3665"/>
    </row>
    <row r="3666" spans="1:1" ht="15" customHeight="1" x14ac:dyDescent="0.25">
      <c r="A3666"/>
    </row>
    <row r="3667" spans="1:1" ht="15" customHeight="1" x14ac:dyDescent="0.25">
      <c r="A3667"/>
    </row>
    <row r="3668" spans="1:1" ht="15" customHeight="1" x14ac:dyDescent="0.25">
      <c r="A3668"/>
    </row>
    <row r="3669" spans="1:1" ht="15" customHeight="1" x14ac:dyDescent="0.25">
      <c r="A3669"/>
    </row>
    <row r="3670" spans="1:1" ht="15" customHeight="1" x14ac:dyDescent="0.25">
      <c r="A3670"/>
    </row>
    <row r="3671" spans="1:1" ht="15" customHeight="1" x14ac:dyDescent="0.25">
      <c r="A3671"/>
    </row>
    <row r="3672" spans="1:1" ht="15" customHeight="1" x14ac:dyDescent="0.25">
      <c r="A3672"/>
    </row>
    <row r="3673" spans="1:1" ht="15" customHeight="1" x14ac:dyDescent="0.25">
      <c r="A3673"/>
    </row>
    <row r="3674" spans="1:1" ht="15" customHeight="1" x14ac:dyDescent="0.25">
      <c r="A3674"/>
    </row>
    <row r="3675" spans="1:1" ht="15" customHeight="1" x14ac:dyDescent="0.25">
      <c r="A3675"/>
    </row>
    <row r="3676" spans="1:1" ht="15" customHeight="1" x14ac:dyDescent="0.25">
      <c r="A3676"/>
    </row>
    <row r="3677" spans="1:1" ht="15" customHeight="1" x14ac:dyDescent="0.25">
      <c r="A3677"/>
    </row>
    <row r="3678" spans="1:1" ht="15" customHeight="1" x14ac:dyDescent="0.25">
      <c r="A3678"/>
    </row>
    <row r="3679" spans="1:1" ht="15" customHeight="1" x14ac:dyDescent="0.25">
      <c r="A3679"/>
    </row>
    <row r="3680" spans="1:1" ht="15" customHeight="1" x14ac:dyDescent="0.25">
      <c r="A3680"/>
    </row>
    <row r="3681" spans="1:1" ht="15" customHeight="1" x14ac:dyDescent="0.25">
      <c r="A3681"/>
    </row>
    <row r="3682" spans="1:1" ht="15" customHeight="1" x14ac:dyDescent="0.25">
      <c r="A3682"/>
    </row>
    <row r="3683" spans="1:1" ht="15" customHeight="1" x14ac:dyDescent="0.25">
      <c r="A3683"/>
    </row>
    <row r="3684" spans="1:1" ht="15" customHeight="1" x14ac:dyDescent="0.25">
      <c r="A3684"/>
    </row>
    <row r="3685" spans="1:1" ht="15" customHeight="1" x14ac:dyDescent="0.25">
      <c r="A3685"/>
    </row>
    <row r="3686" spans="1:1" ht="15" customHeight="1" x14ac:dyDescent="0.25">
      <c r="A3686"/>
    </row>
    <row r="3687" spans="1:1" ht="15" customHeight="1" x14ac:dyDescent="0.25">
      <c r="A3687"/>
    </row>
    <row r="3688" spans="1:1" ht="15" customHeight="1" x14ac:dyDescent="0.25">
      <c r="A3688"/>
    </row>
    <row r="3689" spans="1:1" ht="15" customHeight="1" x14ac:dyDescent="0.25">
      <c r="A3689"/>
    </row>
    <row r="3690" spans="1:1" ht="15" customHeight="1" x14ac:dyDescent="0.25">
      <c r="A3690"/>
    </row>
    <row r="3691" spans="1:1" ht="15" customHeight="1" x14ac:dyDescent="0.25">
      <c r="A3691"/>
    </row>
    <row r="3692" spans="1:1" ht="15" customHeight="1" x14ac:dyDescent="0.25">
      <c r="A3692"/>
    </row>
    <row r="3693" spans="1:1" ht="15" customHeight="1" x14ac:dyDescent="0.25">
      <c r="A3693"/>
    </row>
    <row r="3694" spans="1:1" ht="15" customHeight="1" x14ac:dyDescent="0.25">
      <c r="A3694"/>
    </row>
    <row r="3695" spans="1:1" ht="15" customHeight="1" x14ac:dyDescent="0.25">
      <c r="A3695"/>
    </row>
    <row r="3696" spans="1:1" ht="15" customHeight="1" x14ac:dyDescent="0.25">
      <c r="A3696"/>
    </row>
    <row r="3697" spans="1:1" ht="15" customHeight="1" x14ac:dyDescent="0.25">
      <c r="A3697"/>
    </row>
    <row r="3698" spans="1:1" ht="15" customHeight="1" x14ac:dyDescent="0.25">
      <c r="A3698"/>
    </row>
    <row r="3699" spans="1:1" ht="15" customHeight="1" x14ac:dyDescent="0.25">
      <c r="A3699"/>
    </row>
    <row r="3700" spans="1:1" ht="15" customHeight="1" x14ac:dyDescent="0.25">
      <c r="A3700"/>
    </row>
    <row r="3701" spans="1:1" ht="15" customHeight="1" x14ac:dyDescent="0.25">
      <c r="A3701"/>
    </row>
    <row r="3702" spans="1:1" ht="15" customHeight="1" x14ac:dyDescent="0.25">
      <c r="A3702"/>
    </row>
    <row r="3703" spans="1:1" ht="15" customHeight="1" x14ac:dyDescent="0.25">
      <c r="A3703"/>
    </row>
    <row r="3704" spans="1:1" ht="15" customHeight="1" x14ac:dyDescent="0.25">
      <c r="A3704"/>
    </row>
    <row r="3705" spans="1:1" ht="15" customHeight="1" x14ac:dyDescent="0.25">
      <c r="A3705"/>
    </row>
    <row r="3706" spans="1:1" ht="15" customHeight="1" x14ac:dyDescent="0.25">
      <c r="A3706"/>
    </row>
    <row r="3707" spans="1:1" ht="15" customHeight="1" x14ac:dyDescent="0.25">
      <c r="A3707"/>
    </row>
    <row r="3708" spans="1:1" ht="15" customHeight="1" x14ac:dyDescent="0.25">
      <c r="A3708"/>
    </row>
    <row r="3709" spans="1:1" ht="15" customHeight="1" x14ac:dyDescent="0.25">
      <c r="A3709"/>
    </row>
    <row r="3710" spans="1:1" ht="15" customHeight="1" x14ac:dyDescent="0.25">
      <c r="A3710"/>
    </row>
    <row r="3711" spans="1:1" ht="15" customHeight="1" x14ac:dyDescent="0.25">
      <c r="A3711"/>
    </row>
    <row r="3712" spans="1:1" ht="15" customHeight="1" x14ac:dyDescent="0.25">
      <c r="A3712"/>
    </row>
    <row r="3713" spans="1:1" ht="15" customHeight="1" x14ac:dyDescent="0.25">
      <c r="A3713"/>
    </row>
    <row r="3714" spans="1:1" ht="15" customHeight="1" x14ac:dyDescent="0.25">
      <c r="A3714"/>
    </row>
    <row r="3715" spans="1:1" ht="15" customHeight="1" x14ac:dyDescent="0.25">
      <c r="A3715"/>
    </row>
    <row r="3716" spans="1:1" ht="15" customHeight="1" x14ac:dyDescent="0.25">
      <c r="A3716"/>
    </row>
    <row r="3717" spans="1:1" ht="15" customHeight="1" x14ac:dyDescent="0.25">
      <c r="A3717"/>
    </row>
    <row r="3718" spans="1:1" ht="15" customHeight="1" x14ac:dyDescent="0.25">
      <c r="A3718"/>
    </row>
    <row r="3719" spans="1:1" ht="15" customHeight="1" x14ac:dyDescent="0.25">
      <c r="A3719"/>
    </row>
    <row r="3720" spans="1:1" ht="15" customHeight="1" x14ac:dyDescent="0.25">
      <c r="A3720"/>
    </row>
    <row r="3721" spans="1:1" ht="15" customHeight="1" x14ac:dyDescent="0.25">
      <c r="A3721"/>
    </row>
    <row r="3722" spans="1:1" ht="15" customHeight="1" x14ac:dyDescent="0.25">
      <c r="A3722"/>
    </row>
    <row r="3723" spans="1:1" ht="15" customHeight="1" x14ac:dyDescent="0.25">
      <c r="A3723"/>
    </row>
    <row r="3724" spans="1:1" ht="15" customHeight="1" x14ac:dyDescent="0.25">
      <c r="A3724"/>
    </row>
    <row r="3725" spans="1:1" ht="15" customHeight="1" x14ac:dyDescent="0.25">
      <c r="A3725"/>
    </row>
    <row r="3726" spans="1:1" ht="15" customHeight="1" x14ac:dyDescent="0.25">
      <c r="A3726"/>
    </row>
    <row r="3727" spans="1:1" ht="15" customHeight="1" x14ac:dyDescent="0.25">
      <c r="A3727"/>
    </row>
    <row r="3728" spans="1:1" ht="15" customHeight="1" x14ac:dyDescent="0.25">
      <c r="A3728"/>
    </row>
    <row r="3729" spans="1:1" ht="15" customHeight="1" x14ac:dyDescent="0.25">
      <c r="A3729"/>
    </row>
    <row r="3730" spans="1:1" ht="15" customHeight="1" x14ac:dyDescent="0.25">
      <c r="A3730"/>
    </row>
    <row r="3731" spans="1:1" ht="15" customHeight="1" x14ac:dyDescent="0.25">
      <c r="A3731"/>
    </row>
    <row r="3732" spans="1:1" ht="15" customHeight="1" x14ac:dyDescent="0.25">
      <c r="A3732"/>
    </row>
    <row r="3733" spans="1:1" ht="15" customHeight="1" x14ac:dyDescent="0.25">
      <c r="A3733"/>
    </row>
    <row r="3734" spans="1:1" ht="15" customHeight="1" x14ac:dyDescent="0.25">
      <c r="A3734"/>
    </row>
    <row r="3735" spans="1:1" ht="15" customHeight="1" x14ac:dyDescent="0.25">
      <c r="A3735"/>
    </row>
    <row r="3736" spans="1:1" ht="15" customHeight="1" x14ac:dyDescent="0.25">
      <c r="A3736"/>
    </row>
    <row r="3737" spans="1:1" ht="15" customHeight="1" x14ac:dyDescent="0.25">
      <c r="A3737"/>
    </row>
    <row r="3738" spans="1:1" ht="15" customHeight="1" x14ac:dyDescent="0.25">
      <c r="A3738"/>
    </row>
    <row r="3739" spans="1:1" ht="15" customHeight="1" x14ac:dyDescent="0.25">
      <c r="A3739"/>
    </row>
    <row r="3740" spans="1:1" ht="15" customHeight="1" x14ac:dyDescent="0.25">
      <c r="A3740"/>
    </row>
    <row r="3741" spans="1:1" ht="15" customHeight="1" x14ac:dyDescent="0.25">
      <c r="A3741"/>
    </row>
    <row r="3742" spans="1:1" ht="15" customHeight="1" x14ac:dyDescent="0.25">
      <c r="A3742"/>
    </row>
    <row r="3743" spans="1:1" ht="15" customHeight="1" x14ac:dyDescent="0.25">
      <c r="A3743"/>
    </row>
    <row r="3744" spans="1:1" ht="15" customHeight="1" x14ac:dyDescent="0.25">
      <c r="A3744"/>
    </row>
    <row r="3745" spans="1:1" ht="15" customHeight="1" x14ac:dyDescent="0.25">
      <c r="A3745"/>
    </row>
    <row r="3746" spans="1:1" ht="15" customHeight="1" x14ac:dyDescent="0.25">
      <c r="A3746"/>
    </row>
    <row r="3747" spans="1:1" ht="15" customHeight="1" x14ac:dyDescent="0.25">
      <c r="A3747"/>
    </row>
    <row r="3748" spans="1:1" ht="15" customHeight="1" x14ac:dyDescent="0.25">
      <c r="A3748"/>
    </row>
    <row r="3749" spans="1:1" ht="15" customHeight="1" x14ac:dyDescent="0.25">
      <c r="A3749"/>
    </row>
    <row r="3750" spans="1:1" ht="15" customHeight="1" x14ac:dyDescent="0.25">
      <c r="A3750"/>
    </row>
    <row r="3751" spans="1:1" ht="15" customHeight="1" x14ac:dyDescent="0.25">
      <c r="A3751"/>
    </row>
    <row r="3752" spans="1:1" ht="15" customHeight="1" x14ac:dyDescent="0.25">
      <c r="A3752"/>
    </row>
    <row r="3753" spans="1:1" ht="15" customHeight="1" x14ac:dyDescent="0.25">
      <c r="A3753"/>
    </row>
    <row r="3754" spans="1:1" ht="15" customHeight="1" x14ac:dyDescent="0.25">
      <c r="A3754"/>
    </row>
    <row r="3755" spans="1:1" ht="15" customHeight="1" x14ac:dyDescent="0.25">
      <c r="A3755"/>
    </row>
    <row r="3756" spans="1:1" ht="15" customHeight="1" x14ac:dyDescent="0.25">
      <c r="A3756"/>
    </row>
    <row r="3757" spans="1:1" ht="15" customHeight="1" x14ac:dyDescent="0.25">
      <c r="A3757"/>
    </row>
    <row r="3758" spans="1:1" ht="15" customHeight="1" x14ac:dyDescent="0.25">
      <c r="A3758"/>
    </row>
    <row r="3759" spans="1:1" ht="15" customHeight="1" x14ac:dyDescent="0.25">
      <c r="A3759"/>
    </row>
    <row r="3760" spans="1:1" ht="15" customHeight="1" x14ac:dyDescent="0.25">
      <c r="A3760"/>
    </row>
    <row r="3761" spans="1:1" ht="15" customHeight="1" x14ac:dyDescent="0.25">
      <c r="A3761"/>
    </row>
    <row r="3762" spans="1:1" ht="15" customHeight="1" x14ac:dyDescent="0.25">
      <c r="A3762"/>
    </row>
    <row r="3763" spans="1:1" ht="15" customHeight="1" x14ac:dyDescent="0.25">
      <c r="A3763"/>
    </row>
    <row r="3764" spans="1:1" ht="15" customHeight="1" x14ac:dyDescent="0.25">
      <c r="A3764"/>
    </row>
    <row r="3765" spans="1:1" ht="15" customHeight="1" x14ac:dyDescent="0.25">
      <c r="A3765"/>
    </row>
    <row r="3766" spans="1:1" ht="15" customHeight="1" x14ac:dyDescent="0.25">
      <c r="A3766"/>
    </row>
    <row r="3767" spans="1:1" ht="15" customHeight="1" x14ac:dyDescent="0.25">
      <c r="A3767"/>
    </row>
    <row r="3768" spans="1:1" ht="15" customHeight="1" x14ac:dyDescent="0.25">
      <c r="A3768"/>
    </row>
    <row r="3769" spans="1:1" ht="15" customHeight="1" x14ac:dyDescent="0.25">
      <c r="A3769"/>
    </row>
    <row r="3770" spans="1:1" ht="15" customHeight="1" x14ac:dyDescent="0.25">
      <c r="A3770"/>
    </row>
    <row r="3771" spans="1:1" ht="15" customHeight="1" x14ac:dyDescent="0.25">
      <c r="A3771"/>
    </row>
    <row r="3772" spans="1:1" ht="15" customHeight="1" x14ac:dyDescent="0.25">
      <c r="A3772"/>
    </row>
    <row r="3773" spans="1:1" ht="15" customHeight="1" x14ac:dyDescent="0.25">
      <c r="A3773"/>
    </row>
    <row r="3774" spans="1:1" ht="15" customHeight="1" x14ac:dyDescent="0.25">
      <c r="A3774"/>
    </row>
    <row r="3775" spans="1:1" ht="15" customHeight="1" x14ac:dyDescent="0.25">
      <c r="A3775"/>
    </row>
    <row r="3776" spans="1:1" ht="15" customHeight="1" x14ac:dyDescent="0.25">
      <c r="A3776"/>
    </row>
    <row r="3777" spans="1:1" ht="15" customHeight="1" x14ac:dyDescent="0.25">
      <c r="A3777"/>
    </row>
    <row r="3778" spans="1:1" ht="15" customHeight="1" x14ac:dyDescent="0.25">
      <c r="A3778"/>
    </row>
    <row r="3779" spans="1:1" ht="15" customHeight="1" x14ac:dyDescent="0.25">
      <c r="A3779"/>
    </row>
    <row r="3780" spans="1:1" ht="15" customHeight="1" x14ac:dyDescent="0.25">
      <c r="A3780"/>
    </row>
    <row r="3781" spans="1:1" ht="15" customHeight="1" x14ac:dyDescent="0.25">
      <c r="A3781"/>
    </row>
    <row r="3782" spans="1:1" ht="15" customHeight="1" x14ac:dyDescent="0.25">
      <c r="A3782"/>
    </row>
    <row r="3783" spans="1:1" ht="15" customHeight="1" x14ac:dyDescent="0.25">
      <c r="A3783"/>
    </row>
    <row r="3784" spans="1:1" ht="15" customHeight="1" x14ac:dyDescent="0.25">
      <c r="A3784"/>
    </row>
    <row r="3785" spans="1:1" ht="15" customHeight="1" x14ac:dyDescent="0.25">
      <c r="A3785"/>
    </row>
    <row r="3786" spans="1:1" ht="15" customHeight="1" x14ac:dyDescent="0.25">
      <c r="A3786"/>
    </row>
    <row r="3787" spans="1:1" ht="15" customHeight="1" x14ac:dyDescent="0.25">
      <c r="A3787"/>
    </row>
    <row r="3788" spans="1:1" ht="15" customHeight="1" x14ac:dyDescent="0.25">
      <c r="A3788"/>
    </row>
    <row r="3789" spans="1:1" ht="15" customHeight="1" x14ac:dyDescent="0.25">
      <c r="A3789"/>
    </row>
    <row r="3790" spans="1:1" ht="15" customHeight="1" x14ac:dyDescent="0.25">
      <c r="A3790"/>
    </row>
    <row r="3791" spans="1:1" ht="15" customHeight="1" x14ac:dyDescent="0.25">
      <c r="A3791"/>
    </row>
    <row r="3792" spans="1:1" ht="15" customHeight="1" x14ac:dyDescent="0.25">
      <c r="A3792"/>
    </row>
    <row r="3793" spans="1:1" ht="15" customHeight="1" x14ac:dyDescent="0.25">
      <c r="A3793"/>
    </row>
    <row r="3794" spans="1:1" ht="15" customHeight="1" x14ac:dyDescent="0.25">
      <c r="A3794"/>
    </row>
    <row r="3795" spans="1:1" ht="15" customHeight="1" x14ac:dyDescent="0.25">
      <c r="A3795"/>
    </row>
    <row r="3796" spans="1:1" ht="15" customHeight="1" x14ac:dyDescent="0.25">
      <c r="A3796"/>
    </row>
    <row r="3797" spans="1:1" ht="15" customHeight="1" x14ac:dyDescent="0.25">
      <c r="A3797"/>
    </row>
    <row r="3798" spans="1:1" ht="15" customHeight="1" x14ac:dyDescent="0.25">
      <c r="A3798"/>
    </row>
    <row r="3799" spans="1:1" ht="15" customHeight="1" x14ac:dyDescent="0.25">
      <c r="A3799"/>
    </row>
    <row r="3800" spans="1:1" ht="15" customHeight="1" x14ac:dyDescent="0.25">
      <c r="A3800"/>
    </row>
    <row r="3801" spans="1:1" ht="15" customHeight="1" x14ac:dyDescent="0.25">
      <c r="A3801"/>
    </row>
    <row r="3802" spans="1:1" ht="15" customHeight="1" x14ac:dyDescent="0.25">
      <c r="A3802"/>
    </row>
    <row r="3803" spans="1:1" ht="15" customHeight="1" x14ac:dyDescent="0.25">
      <c r="A3803"/>
    </row>
    <row r="3804" spans="1:1" ht="15" customHeight="1" x14ac:dyDescent="0.25">
      <c r="A3804"/>
    </row>
    <row r="3805" spans="1:1" ht="15" customHeight="1" x14ac:dyDescent="0.25">
      <c r="A3805"/>
    </row>
    <row r="3806" spans="1:1" ht="15" customHeight="1" x14ac:dyDescent="0.25">
      <c r="A3806"/>
    </row>
    <row r="3807" spans="1:1" ht="15" customHeight="1" x14ac:dyDescent="0.25">
      <c r="A3807"/>
    </row>
    <row r="3808" spans="1:1" ht="15" customHeight="1" x14ac:dyDescent="0.25">
      <c r="A3808"/>
    </row>
    <row r="3809" spans="1:1" ht="15" customHeight="1" x14ac:dyDescent="0.25">
      <c r="A3809"/>
    </row>
    <row r="3810" spans="1:1" ht="15" customHeight="1" x14ac:dyDescent="0.25">
      <c r="A3810"/>
    </row>
    <row r="3811" spans="1:1" ht="15" customHeight="1" x14ac:dyDescent="0.25">
      <c r="A3811"/>
    </row>
    <row r="3812" spans="1:1" ht="15" customHeight="1" x14ac:dyDescent="0.25">
      <c r="A3812"/>
    </row>
    <row r="3813" spans="1:1" ht="15" customHeight="1" x14ac:dyDescent="0.25">
      <c r="A3813"/>
    </row>
    <row r="3814" spans="1:1" ht="15" customHeight="1" x14ac:dyDescent="0.25">
      <c r="A3814"/>
    </row>
    <row r="3815" spans="1:1" ht="15" customHeight="1" x14ac:dyDescent="0.25">
      <c r="A3815"/>
    </row>
    <row r="3816" spans="1:1" ht="15" customHeight="1" x14ac:dyDescent="0.25">
      <c r="A3816"/>
    </row>
    <row r="3817" spans="1:1" ht="15" customHeight="1" x14ac:dyDescent="0.25">
      <c r="A3817"/>
    </row>
    <row r="3818" spans="1:1" ht="15" customHeight="1" x14ac:dyDescent="0.25">
      <c r="A3818"/>
    </row>
    <row r="3819" spans="1:1" ht="15" customHeight="1" x14ac:dyDescent="0.25">
      <c r="A3819"/>
    </row>
    <row r="3820" spans="1:1" ht="15" customHeight="1" x14ac:dyDescent="0.25">
      <c r="A3820"/>
    </row>
    <row r="3821" spans="1:1" ht="15" customHeight="1" x14ac:dyDescent="0.25">
      <c r="A3821"/>
    </row>
    <row r="3822" spans="1:1" ht="15" customHeight="1" x14ac:dyDescent="0.25">
      <c r="A3822"/>
    </row>
    <row r="3823" spans="1:1" ht="15" customHeight="1" x14ac:dyDescent="0.25">
      <c r="A3823"/>
    </row>
    <row r="3824" spans="1:1" ht="15" customHeight="1" x14ac:dyDescent="0.25">
      <c r="A3824"/>
    </row>
    <row r="3825" spans="1:1" ht="15" customHeight="1" x14ac:dyDescent="0.25">
      <c r="A3825"/>
    </row>
    <row r="3826" spans="1:1" ht="15" customHeight="1" x14ac:dyDescent="0.25">
      <c r="A3826"/>
    </row>
    <row r="3827" spans="1:1" ht="15" customHeight="1" x14ac:dyDescent="0.25">
      <c r="A3827"/>
    </row>
    <row r="3828" spans="1:1" ht="15" customHeight="1" x14ac:dyDescent="0.25">
      <c r="A3828"/>
    </row>
    <row r="3829" spans="1:1" ht="15" customHeight="1" x14ac:dyDescent="0.25">
      <c r="A3829"/>
    </row>
    <row r="3830" spans="1:1" ht="15" customHeight="1" x14ac:dyDescent="0.25">
      <c r="A3830"/>
    </row>
    <row r="3831" spans="1:1" ht="15" customHeight="1" x14ac:dyDescent="0.25">
      <c r="A3831"/>
    </row>
    <row r="3832" spans="1:1" ht="15" customHeight="1" x14ac:dyDescent="0.25">
      <c r="A3832"/>
    </row>
    <row r="3833" spans="1:1" ht="15" customHeight="1" x14ac:dyDescent="0.25">
      <c r="A3833"/>
    </row>
    <row r="3834" spans="1:1" ht="15" customHeight="1" x14ac:dyDescent="0.25">
      <c r="A3834"/>
    </row>
    <row r="3835" spans="1:1" ht="15" customHeight="1" x14ac:dyDescent="0.25">
      <c r="A3835"/>
    </row>
    <row r="3836" spans="1:1" ht="15" customHeight="1" x14ac:dyDescent="0.25">
      <c r="A3836"/>
    </row>
    <row r="3837" spans="1:1" ht="15" customHeight="1" x14ac:dyDescent="0.25">
      <c r="A3837"/>
    </row>
    <row r="3838" spans="1:1" ht="15" customHeight="1" x14ac:dyDescent="0.25">
      <c r="A3838"/>
    </row>
    <row r="3839" spans="1:1" ht="15" customHeight="1" x14ac:dyDescent="0.25">
      <c r="A3839"/>
    </row>
    <row r="3840" spans="1:1" ht="15" customHeight="1" x14ac:dyDescent="0.25">
      <c r="A3840"/>
    </row>
    <row r="3841" spans="1:1" ht="15" customHeight="1" x14ac:dyDescent="0.25">
      <c r="A3841"/>
    </row>
    <row r="3842" spans="1:1" ht="15" customHeight="1" x14ac:dyDescent="0.25">
      <c r="A3842"/>
    </row>
    <row r="3843" spans="1:1" ht="15" customHeight="1" x14ac:dyDescent="0.25">
      <c r="A3843"/>
    </row>
    <row r="3844" spans="1:1" ht="15" customHeight="1" x14ac:dyDescent="0.25">
      <c r="A3844"/>
    </row>
    <row r="3845" spans="1:1" ht="15" customHeight="1" x14ac:dyDescent="0.25">
      <c r="A3845"/>
    </row>
    <row r="3846" spans="1:1" ht="15" customHeight="1" x14ac:dyDescent="0.25">
      <c r="A3846"/>
    </row>
    <row r="3847" spans="1:1" ht="15" customHeight="1" x14ac:dyDescent="0.25">
      <c r="A3847"/>
    </row>
    <row r="3848" spans="1:1" ht="15" customHeight="1" x14ac:dyDescent="0.25">
      <c r="A3848"/>
    </row>
    <row r="3849" spans="1:1" ht="15" customHeight="1" x14ac:dyDescent="0.25">
      <c r="A3849"/>
    </row>
    <row r="3850" spans="1:1" ht="15" customHeight="1" x14ac:dyDescent="0.25">
      <c r="A3850"/>
    </row>
    <row r="3851" spans="1:1" ht="15" customHeight="1" x14ac:dyDescent="0.25">
      <c r="A3851"/>
    </row>
    <row r="3852" spans="1:1" ht="15" customHeight="1" x14ac:dyDescent="0.25">
      <c r="A3852"/>
    </row>
    <row r="3853" spans="1:1" ht="15" customHeight="1" x14ac:dyDescent="0.25">
      <c r="A3853"/>
    </row>
    <row r="3854" spans="1:1" ht="15" customHeight="1" x14ac:dyDescent="0.25">
      <c r="A3854"/>
    </row>
    <row r="3855" spans="1:1" ht="15" customHeight="1" x14ac:dyDescent="0.25">
      <c r="A3855"/>
    </row>
    <row r="3856" spans="1:1" ht="15" customHeight="1" x14ac:dyDescent="0.25">
      <c r="A3856"/>
    </row>
    <row r="3857" spans="1:1" ht="15" customHeight="1" x14ac:dyDescent="0.25">
      <c r="A3857"/>
    </row>
    <row r="3858" spans="1:1" ht="15" customHeight="1" x14ac:dyDescent="0.25">
      <c r="A3858"/>
    </row>
    <row r="3859" spans="1:1" ht="15" customHeight="1" x14ac:dyDescent="0.25">
      <c r="A3859"/>
    </row>
    <row r="3860" spans="1:1" ht="15" customHeight="1" x14ac:dyDescent="0.25">
      <c r="A3860"/>
    </row>
    <row r="3861" spans="1:1" ht="15" customHeight="1" x14ac:dyDescent="0.25">
      <c r="A3861"/>
    </row>
    <row r="3862" spans="1:1" ht="15" customHeight="1" x14ac:dyDescent="0.25">
      <c r="A3862"/>
    </row>
    <row r="3863" spans="1:1" ht="15" customHeight="1" x14ac:dyDescent="0.25">
      <c r="A3863"/>
    </row>
    <row r="3864" spans="1:1" ht="15" customHeight="1" x14ac:dyDescent="0.25">
      <c r="A3864"/>
    </row>
    <row r="3865" spans="1:1" ht="15" customHeight="1" x14ac:dyDescent="0.25">
      <c r="A3865"/>
    </row>
    <row r="3866" spans="1:1" ht="15" customHeight="1" x14ac:dyDescent="0.25">
      <c r="A3866"/>
    </row>
    <row r="3867" spans="1:1" ht="15" customHeight="1" x14ac:dyDescent="0.25">
      <c r="A3867"/>
    </row>
    <row r="3868" spans="1:1" ht="15" customHeight="1" x14ac:dyDescent="0.25">
      <c r="A3868"/>
    </row>
    <row r="3869" spans="1:1" ht="15" customHeight="1" x14ac:dyDescent="0.25">
      <c r="A3869"/>
    </row>
    <row r="3870" spans="1:1" ht="15" customHeight="1" x14ac:dyDescent="0.25">
      <c r="A3870"/>
    </row>
    <row r="3871" spans="1:1" ht="15" customHeight="1" x14ac:dyDescent="0.25">
      <c r="A3871"/>
    </row>
    <row r="3872" spans="1:1" ht="15" customHeight="1" x14ac:dyDescent="0.25">
      <c r="A3872"/>
    </row>
    <row r="3873" spans="1:1" ht="15" customHeight="1" x14ac:dyDescent="0.25">
      <c r="A3873"/>
    </row>
    <row r="3874" spans="1:1" ht="15" customHeight="1" x14ac:dyDescent="0.25">
      <c r="A3874"/>
    </row>
    <row r="3875" spans="1:1" ht="15" customHeight="1" x14ac:dyDescent="0.25">
      <c r="A3875"/>
    </row>
    <row r="3876" spans="1:1" ht="15" customHeight="1" x14ac:dyDescent="0.25">
      <c r="A3876"/>
    </row>
    <row r="3877" spans="1:1" ht="15" customHeight="1" x14ac:dyDescent="0.25">
      <c r="A3877"/>
    </row>
    <row r="3878" spans="1:1" ht="15" customHeight="1" x14ac:dyDescent="0.25">
      <c r="A3878"/>
    </row>
    <row r="3879" spans="1:1" ht="15" customHeight="1" x14ac:dyDescent="0.25">
      <c r="A3879"/>
    </row>
    <row r="3880" spans="1:1" ht="15" customHeight="1" x14ac:dyDescent="0.25">
      <c r="A3880"/>
    </row>
    <row r="3881" spans="1:1" ht="15" customHeight="1" x14ac:dyDescent="0.25">
      <c r="A3881"/>
    </row>
    <row r="3882" spans="1:1" ht="15" customHeight="1" x14ac:dyDescent="0.25">
      <c r="A3882"/>
    </row>
    <row r="3883" spans="1:1" ht="15" customHeight="1" x14ac:dyDescent="0.25">
      <c r="A3883"/>
    </row>
    <row r="3884" spans="1:1" ht="15" customHeight="1" x14ac:dyDescent="0.25">
      <c r="A3884"/>
    </row>
    <row r="3885" spans="1:1" ht="15" customHeight="1" x14ac:dyDescent="0.25">
      <c r="A3885"/>
    </row>
    <row r="3886" spans="1:1" ht="15" customHeight="1" x14ac:dyDescent="0.25">
      <c r="A3886"/>
    </row>
    <row r="3887" spans="1:1" ht="15" customHeight="1" x14ac:dyDescent="0.25">
      <c r="A3887"/>
    </row>
    <row r="3888" spans="1:1" ht="15" customHeight="1" x14ac:dyDescent="0.25">
      <c r="A3888"/>
    </row>
    <row r="3889" spans="1:1" ht="15" customHeight="1" x14ac:dyDescent="0.25">
      <c r="A3889"/>
    </row>
    <row r="3890" spans="1:1" ht="15" customHeight="1" x14ac:dyDescent="0.25">
      <c r="A3890"/>
    </row>
    <row r="3891" spans="1:1" ht="15" customHeight="1" x14ac:dyDescent="0.25">
      <c r="A3891"/>
    </row>
    <row r="3892" spans="1:1" ht="15" customHeight="1" x14ac:dyDescent="0.25">
      <c r="A3892"/>
    </row>
    <row r="3893" spans="1:1" ht="15" customHeight="1" x14ac:dyDescent="0.25">
      <c r="A3893"/>
    </row>
    <row r="3894" spans="1:1" ht="15" customHeight="1" x14ac:dyDescent="0.25">
      <c r="A3894"/>
    </row>
    <row r="3895" spans="1:1" ht="15" customHeight="1" x14ac:dyDescent="0.25">
      <c r="A3895"/>
    </row>
    <row r="3896" spans="1:1" ht="15" customHeight="1" x14ac:dyDescent="0.25">
      <c r="A3896"/>
    </row>
    <row r="3897" spans="1:1" ht="15" customHeight="1" x14ac:dyDescent="0.25">
      <c r="A3897"/>
    </row>
    <row r="3898" spans="1:1" ht="15" customHeight="1" x14ac:dyDescent="0.25">
      <c r="A3898"/>
    </row>
    <row r="3899" spans="1:1" ht="15" customHeight="1" x14ac:dyDescent="0.25">
      <c r="A3899"/>
    </row>
    <row r="3900" spans="1:1" ht="15" customHeight="1" x14ac:dyDescent="0.25">
      <c r="A3900"/>
    </row>
    <row r="3901" spans="1:1" ht="15" customHeight="1" x14ac:dyDescent="0.25">
      <c r="A3901"/>
    </row>
    <row r="3902" spans="1:1" ht="15" customHeight="1" x14ac:dyDescent="0.25">
      <c r="A3902"/>
    </row>
    <row r="3903" spans="1:1" ht="15" customHeight="1" x14ac:dyDescent="0.25">
      <c r="A3903"/>
    </row>
    <row r="3904" spans="1:1" ht="15" customHeight="1" x14ac:dyDescent="0.25">
      <c r="A3904"/>
    </row>
    <row r="3905" spans="1:1" ht="15" customHeight="1" x14ac:dyDescent="0.25">
      <c r="A3905"/>
    </row>
    <row r="3906" spans="1:1" ht="15" customHeight="1" x14ac:dyDescent="0.25">
      <c r="A3906"/>
    </row>
    <row r="3907" spans="1:1" ht="15" customHeight="1" x14ac:dyDescent="0.25">
      <c r="A3907"/>
    </row>
    <row r="3908" spans="1:1" ht="15" customHeight="1" x14ac:dyDescent="0.25">
      <c r="A3908"/>
    </row>
    <row r="3909" spans="1:1" ht="15" customHeight="1" x14ac:dyDescent="0.25">
      <c r="A3909"/>
    </row>
    <row r="3910" spans="1:1" ht="15" customHeight="1" x14ac:dyDescent="0.25">
      <c r="A3910"/>
    </row>
    <row r="3911" spans="1:1" ht="15" customHeight="1" x14ac:dyDescent="0.25">
      <c r="A3911"/>
    </row>
    <row r="3912" spans="1:1" ht="15" customHeight="1" x14ac:dyDescent="0.25">
      <c r="A3912"/>
    </row>
    <row r="3913" spans="1:1" ht="15" customHeight="1" x14ac:dyDescent="0.25">
      <c r="A3913"/>
    </row>
    <row r="3914" spans="1:1" ht="15" customHeight="1" x14ac:dyDescent="0.25">
      <c r="A3914"/>
    </row>
    <row r="3915" spans="1:1" ht="15" customHeight="1" x14ac:dyDescent="0.25">
      <c r="A3915"/>
    </row>
    <row r="3916" spans="1:1" ht="15" customHeight="1" x14ac:dyDescent="0.25">
      <c r="A3916"/>
    </row>
    <row r="3917" spans="1:1" ht="15" customHeight="1" x14ac:dyDescent="0.25">
      <c r="A3917"/>
    </row>
    <row r="3918" spans="1:1" ht="15" customHeight="1" x14ac:dyDescent="0.25">
      <c r="A3918"/>
    </row>
    <row r="3919" spans="1:1" ht="15" customHeight="1" x14ac:dyDescent="0.25">
      <c r="A3919"/>
    </row>
    <row r="3920" spans="1:1" ht="15" customHeight="1" x14ac:dyDescent="0.25">
      <c r="A3920"/>
    </row>
    <row r="3921" spans="1:1" ht="15" customHeight="1" x14ac:dyDescent="0.25">
      <c r="A3921"/>
    </row>
    <row r="3922" spans="1:1" ht="15" customHeight="1" x14ac:dyDescent="0.25">
      <c r="A3922"/>
    </row>
    <row r="3923" spans="1:1" ht="15" customHeight="1" x14ac:dyDescent="0.25">
      <c r="A3923"/>
    </row>
    <row r="3924" spans="1:1" ht="15" customHeight="1" x14ac:dyDescent="0.25">
      <c r="A3924"/>
    </row>
    <row r="3925" spans="1:1" ht="15" customHeight="1" x14ac:dyDescent="0.25">
      <c r="A3925"/>
    </row>
    <row r="3926" spans="1:1" ht="15" customHeight="1" x14ac:dyDescent="0.25">
      <c r="A3926"/>
    </row>
    <row r="3927" spans="1:1" ht="15" customHeight="1" x14ac:dyDescent="0.25">
      <c r="A3927"/>
    </row>
    <row r="3928" spans="1:1" ht="15" customHeight="1" x14ac:dyDescent="0.25">
      <c r="A3928"/>
    </row>
    <row r="3929" spans="1:1" ht="15" customHeight="1" x14ac:dyDescent="0.25">
      <c r="A3929"/>
    </row>
    <row r="3930" spans="1:1" ht="15" customHeight="1" x14ac:dyDescent="0.25">
      <c r="A3930"/>
    </row>
    <row r="3931" spans="1:1" ht="15" customHeight="1" x14ac:dyDescent="0.25">
      <c r="A3931"/>
    </row>
    <row r="3932" spans="1:1" ht="15" customHeight="1" x14ac:dyDescent="0.25">
      <c r="A3932"/>
    </row>
    <row r="3933" spans="1:1" ht="15" customHeight="1" x14ac:dyDescent="0.25">
      <c r="A3933"/>
    </row>
    <row r="3934" spans="1:1" ht="15" customHeight="1" x14ac:dyDescent="0.25">
      <c r="A3934"/>
    </row>
    <row r="3935" spans="1:1" ht="15" customHeight="1" x14ac:dyDescent="0.25">
      <c r="A3935"/>
    </row>
    <row r="3936" spans="1:1" ht="15" customHeight="1" x14ac:dyDescent="0.25">
      <c r="A3936"/>
    </row>
    <row r="3937" spans="1:1" ht="15" customHeight="1" x14ac:dyDescent="0.25">
      <c r="A3937"/>
    </row>
    <row r="3938" spans="1:1" ht="15" customHeight="1" x14ac:dyDescent="0.25">
      <c r="A3938"/>
    </row>
    <row r="3939" spans="1:1" ht="15" customHeight="1" x14ac:dyDescent="0.25">
      <c r="A3939"/>
    </row>
    <row r="3940" spans="1:1" ht="15" customHeight="1" x14ac:dyDescent="0.25">
      <c r="A3940"/>
    </row>
    <row r="3941" spans="1:1" ht="15" customHeight="1" x14ac:dyDescent="0.25">
      <c r="A3941"/>
    </row>
    <row r="3942" spans="1:1" ht="15" customHeight="1" x14ac:dyDescent="0.25">
      <c r="A3942"/>
    </row>
    <row r="3943" spans="1:1" ht="15" customHeight="1" x14ac:dyDescent="0.25">
      <c r="A3943"/>
    </row>
    <row r="3944" spans="1:1" ht="15" customHeight="1" x14ac:dyDescent="0.25">
      <c r="A3944"/>
    </row>
    <row r="3945" spans="1:1" ht="15" customHeight="1" x14ac:dyDescent="0.25">
      <c r="A3945"/>
    </row>
    <row r="3946" spans="1:1" ht="15" customHeight="1" x14ac:dyDescent="0.25">
      <c r="A3946"/>
    </row>
    <row r="3947" spans="1:1" ht="15" customHeight="1" x14ac:dyDescent="0.25">
      <c r="A3947"/>
    </row>
    <row r="3948" spans="1:1" ht="15" customHeight="1" x14ac:dyDescent="0.25">
      <c r="A3948"/>
    </row>
    <row r="3949" spans="1:1" ht="15" customHeight="1" x14ac:dyDescent="0.25">
      <c r="A3949"/>
    </row>
    <row r="3950" spans="1:1" ht="15" customHeight="1" x14ac:dyDescent="0.25">
      <c r="A3950"/>
    </row>
    <row r="3951" spans="1:1" ht="15" customHeight="1" x14ac:dyDescent="0.25">
      <c r="A3951"/>
    </row>
    <row r="3952" spans="1:1" ht="15" customHeight="1" x14ac:dyDescent="0.25">
      <c r="A3952"/>
    </row>
    <row r="3953" spans="1:1" ht="15" customHeight="1" x14ac:dyDescent="0.25">
      <c r="A3953"/>
    </row>
    <row r="3954" spans="1:1" ht="15" customHeight="1" x14ac:dyDescent="0.25">
      <c r="A3954"/>
    </row>
    <row r="3955" spans="1:1" ht="15" customHeight="1" x14ac:dyDescent="0.25">
      <c r="A3955"/>
    </row>
    <row r="3956" spans="1:1" ht="15" customHeight="1" x14ac:dyDescent="0.25">
      <c r="A3956"/>
    </row>
    <row r="3957" spans="1:1" ht="15" customHeight="1" x14ac:dyDescent="0.25">
      <c r="A3957"/>
    </row>
    <row r="3958" spans="1:1" ht="15" customHeight="1" x14ac:dyDescent="0.25">
      <c r="A3958"/>
    </row>
    <row r="3959" spans="1:1" ht="15" customHeight="1" x14ac:dyDescent="0.25">
      <c r="A3959"/>
    </row>
    <row r="3960" spans="1:1" ht="15" customHeight="1" x14ac:dyDescent="0.25">
      <c r="A3960"/>
    </row>
    <row r="3961" spans="1:1" ht="15" customHeight="1" x14ac:dyDescent="0.25">
      <c r="A3961"/>
    </row>
    <row r="3962" spans="1:1" ht="15" customHeight="1" x14ac:dyDescent="0.25">
      <c r="A3962"/>
    </row>
    <row r="3963" spans="1:1" ht="15" customHeight="1" x14ac:dyDescent="0.25">
      <c r="A3963"/>
    </row>
    <row r="3964" spans="1:1" ht="15" customHeight="1" x14ac:dyDescent="0.25">
      <c r="A3964"/>
    </row>
    <row r="3965" spans="1:1" ht="15" customHeight="1" x14ac:dyDescent="0.25">
      <c r="A3965"/>
    </row>
    <row r="3966" spans="1:1" ht="15" customHeight="1" x14ac:dyDescent="0.25">
      <c r="A3966"/>
    </row>
    <row r="3967" spans="1:1" ht="15" customHeight="1" x14ac:dyDescent="0.25">
      <c r="A3967"/>
    </row>
    <row r="3968" spans="1:1" ht="15" customHeight="1" x14ac:dyDescent="0.25">
      <c r="A3968"/>
    </row>
    <row r="3969" spans="1:1" ht="15" customHeight="1" x14ac:dyDescent="0.25">
      <c r="A3969"/>
    </row>
    <row r="3970" spans="1:1" ht="15" customHeight="1" x14ac:dyDescent="0.25">
      <c r="A3970"/>
    </row>
    <row r="3971" spans="1:1" ht="15" customHeight="1" x14ac:dyDescent="0.25">
      <c r="A3971"/>
    </row>
    <row r="3972" spans="1:1" ht="15" customHeight="1" x14ac:dyDescent="0.25">
      <c r="A3972"/>
    </row>
    <row r="3973" spans="1:1" ht="15" customHeight="1" x14ac:dyDescent="0.25">
      <c r="A3973"/>
    </row>
    <row r="3974" spans="1:1" ht="15" customHeight="1" x14ac:dyDescent="0.25">
      <c r="A3974"/>
    </row>
    <row r="3975" spans="1:1" ht="15" customHeight="1" x14ac:dyDescent="0.25">
      <c r="A3975"/>
    </row>
    <row r="3976" spans="1:1" ht="15" customHeight="1" x14ac:dyDescent="0.25">
      <c r="A3976"/>
    </row>
    <row r="3977" spans="1:1" ht="15" customHeight="1" x14ac:dyDescent="0.25">
      <c r="A3977"/>
    </row>
    <row r="3978" spans="1:1" ht="15" customHeight="1" x14ac:dyDescent="0.25">
      <c r="A3978"/>
    </row>
    <row r="3979" spans="1:1" ht="15" customHeight="1" x14ac:dyDescent="0.25">
      <c r="A3979"/>
    </row>
    <row r="3980" spans="1:1" ht="15" customHeight="1" x14ac:dyDescent="0.25">
      <c r="A3980"/>
    </row>
    <row r="3981" spans="1:1" ht="15" customHeight="1" x14ac:dyDescent="0.25">
      <c r="A3981"/>
    </row>
    <row r="3982" spans="1:1" ht="15" customHeight="1" x14ac:dyDescent="0.25">
      <c r="A3982"/>
    </row>
    <row r="3983" spans="1:1" ht="15" customHeight="1" x14ac:dyDescent="0.25">
      <c r="A3983"/>
    </row>
    <row r="3984" spans="1:1" ht="15" customHeight="1" x14ac:dyDescent="0.25">
      <c r="A3984"/>
    </row>
    <row r="3985" spans="1:1" ht="15" customHeight="1" x14ac:dyDescent="0.25">
      <c r="A3985"/>
    </row>
    <row r="3986" spans="1:1" ht="15" customHeight="1" x14ac:dyDescent="0.25">
      <c r="A3986"/>
    </row>
    <row r="3987" spans="1:1" ht="15" customHeight="1" x14ac:dyDescent="0.25">
      <c r="A3987"/>
    </row>
    <row r="3988" spans="1:1" ht="15" customHeight="1" x14ac:dyDescent="0.25">
      <c r="A3988"/>
    </row>
    <row r="3989" spans="1:1" ht="15" customHeight="1" x14ac:dyDescent="0.25">
      <c r="A3989"/>
    </row>
    <row r="3990" spans="1:1" ht="15" customHeight="1" x14ac:dyDescent="0.25">
      <c r="A3990"/>
    </row>
    <row r="3991" spans="1:1" ht="15" customHeight="1" x14ac:dyDescent="0.25">
      <c r="A3991"/>
    </row>
    <row r="3992" spans="1:1" ht="15" customHeight="1" x14ac:dyDescent="0.25">
      <c r="A3992"/>
    </row>
    <row r="3993" spans="1:1" ht="15" customHeight="1" x14ac:dyDescent="0.25">
      <c r="A3993"/>
    </row>
    <row r="3994" spans="1:1" ht="15" customHeight="1" x14ac:dyDescent="0.25">
      <c r="A3994"/>
    </row>
    <row r="3995" spans="1:1" ht="15" customHeight="1" x14ac:dyDescent="0.25">
      <c r="A3995"/>
    </row>
    <row r="3996" spans="1:1" ht="15" customHeight="1" x14ac:dyDescent="0.25">
      <c r="A3996"/>
    </row>
    <row r="3997" spans="1:1" ht="15" customHeight="1" x14ac:dyDescent="0.25">
      <c r="A3997"/>
    </row>
    <row r="3998" spans="1:1" ht="15" customHeight="1" x14ac:dyDescent="0.25">
      <c r="A3998"/>
    </row>
    <row r="3999" spans="1:1" ht="15" customHeight="1" x14ac:dyDescent="0.25">
      <c r="A3999"/>
    </row>
    <row r="4000" spans="1:1" ht="15" customHeight="1" x14ac:dyDescent="0.25">
      <c r="A4000"/>
    </row>
    <row r="4001" spans="1:1" ht="15" customHeight="1" x14ac:dyDescent="0.25">
      <c r="A4001"/>
    </row>
    <row r="4002" spans="1:1" ht="15" customHeight="1" x14ac:dyDescent="0.25">
      <c r="A4002"/>
    </row>
    <row r="4003" spans="1:1" ht="15" customHeight="1" x14ac:dyDescent="0.25">
      <c r="A4003"/>
    </row>
    <row r="4004" spans="1:1" ht="15" customHeight="1" x14ac:dyDescent="0.25">
      <c r="A4004"/>
    </row>
    <row r="4005" spans="1:1" ht="15" customHeight="1" x14ac:dyDescent="0.25">
      <c r="A4005"/>
    </row>
    <row r="4006" spans="1:1" ht="15" customHeight="1" x14ac:dyDescent="0.25">
      <c r="A4006"/>
    </row>
    <row r="4007" spans="1:1" ht="15" customHeight="1" x14ac:dyDescent="0.25">
      <c r="A4007"/>
    </row>
    <row r="4008" spans="1:1" ht="15" customHeight="1" x14ac:dyDescent="0.25">
      <c r="A4008"/>
    </row>
    <row r="4009" spans="1:1" ht="15" customHeight="1" x14ac:dyDescent="0.25">
      <c r="A4009"/>
    </row>
    <row r="4010" spans="1:1" ht="15" customHeight="1" x14ac:dyDescent="0.25">
      <c r="A4010"/>
    </row>
    <row r="4011" spans="1:1" ht="15" customHeight="1" x14ac:dyDescent="0.25">
      <c r="A4011"/>
    </row>
    <row r="4012" spans="1:1" ht="15" customHeight="1" x14ac:dyDescent="0.25">
      <c r="A4012"/>
    </row>
    <row r="4013" spans="1:1" ht="15" customHeight="1" x14ac:dyDescent="0.25">
      <c r="A4013"/>
    </row>
    <row r="4014" spans="1:1" ht="15" customHeight="1" x14ac:dyDescent="0.25">
      <c r="A4014"/>
    </row>
    <row r="4015" spans="1:1" ht="15" customHeight="1" x14ac:dyDescent="0.25">
      <c r="A4015"/>
    </row>
    <row r="4016" spans="1:1" ht="15" customHeight="1" x14ac:dyDescent="0.25">
      <c r="A4016"/>
    </row>
    <row r="4017" spans="1:1" ht="15" customHeight="1" x14ac:dyDescent="0.25">
      <c r="A4017"/>
    </row>
    <row r="4018" spans="1:1" ht="15" customHeight="1" x14ac:dyDescent="0.25">
      <c r="A4018"/>
    </row>
    <row r="4019" spans="1:1" ht="15" customHeight="1" x14ac:dyDescent="0.25">
      <c r="A4019"/>
    </row>
    <row r="4020" spans="1:1" ht="15" customHeight="1" x14ac:dyDescent="0.25">
      <c r="A4020"/>
    </row>
    <row r="4021" spans="1:1" ht="15" customHeight="1" x14ac:dyDescent="0.25">
      <c r="A4021"/>
    </row>
    <row r="4022" spans="1:1" ht="15" customHeight="1" x14ac:dyDescent="0.25">
      <c r="A4022"/>
    </row>
    <row r="4023" spans="1:1" ht="15" customHeight="1" x14ac:dyDescent="0.25">
      <c r="A4023"/>
    </row>
    <row r="4024" spans="1:1" ht="15" customHeight="1" x14ac:dyDescent="0.25">
      <c r="A4024"/>
    </row>
    <row r="4025" spans="1:1" ht="15" customHeight="1" x14ac:dyDescent="0.25">
      <c r="A4025"/>
    </row>
    <row r="4026" spans="1:1" ht="15" customHeight="1" x14ac:dyDescent="0.25">
      <c r="A4026"/>
    </row>
    <row r="4027" spans="1:1" ht="15" customHeight="1" x14ac:dyDescent="0.25">
      <c r="A4027"/>
    </row>
    <row r="4028" spans="1:1" ht="15" customHeight="1" x14ac:dyDescent="0.25">
      <c r="A4028"/>
    </row>
    <row r="4029" spans="1:1" ht="15" customHeight="1" x14ac:dyDescent="0.25">
      <c r="A4029"/>
    </row>
    <row r="4030" spans="1:1" ht="15" customHeight="1" x14ac:dyDescent="0.25">
      <c r="A4030"/>
    </row>
    <row r="4031" spans="1:1" ht="15" customHeight="1" x14ac:dyDescent="0.25">
      <c r="A4031"/>
    </row>
    <row r="4032" spans="1:1" ht="15" customHeight="1" x14ac:dyDescent="0.25">
      <c r="A4032"/>
    </row>
    <row r="4033" spans="1:1" ht="15" customHeight="1" x14ac:dyDescent="0.25">
      <c r="A4033"/>
    </row>
    <row r="4034" spans="1:1" ht="15" customHeight="1" x14ac:dyDescent="0.25">
      <c r="A4034"/>
    </row>
    <row r="4035" spans="1:1" ht="15" customHeight="1" x14ac:dyDescent="0.25">
      <c r="A4035"/>
    </row>
    <row r="4036" spans="1:1" ht="15" customHeight="1" x14ac:dyDescent="0.25">
      <c r="A4036"/>
    </row>
    <row r="4037" spans="1:1" ht="15" customHeight="1" x14ac:dyDescent="0.25">
      <c r="A4037"/>
    </row>
    <row r="4038" spans="1:1" ht="15" customHeight="1" x14ac:dyDescent="0.25">
      <c r="A4038"/>
    </row>
    <row r="4039" spans="1:1" ht="15" customHeight="1" x14ac:dyDescent="0.25">
      <c r="A4039"/>
    </row>
    <row r="4040" spans="1:1" ht="15" customHeight="1" x14ac:dyDescent="0.25">
      <c r="A4040"/>
    </row>
    <row r="4041" spans="1:1" ht="15" customHeight="1" x14ac:dyDescent="0.25">
      <c r="A4041"/>
    </row>
    <row r="4042" spans="1:1" ht="15" customHeight="1" x14ac:dyDescent="0.25">
      <c r="A4042"/>
    </row>
    <row r="4043" spans="1:1" ht="15" customHeight="1" x14ac:dyDescent="0.25">
      <c r="A4043"/>
    </row>
    <row r="4044" spans="1:1" ht="15" customHeight="1" x14ac:dyDescent="0.25">
      <c r="A4044"/>
    </row>
    <row r="4045" spans="1:1" ht="15" customHeight="1" x14ac:dyDescent="0.25">
      <c r="A4045"/>
    </row>
    <row r="4046" spans="1:1" ht="15" customHeight="1" x14ac:dyDescent="0.25">
      <c r="A4046"/>
    </row>
    <row r="4047" spans="1:1" ht="15" customHeight="1" x14ac:dyDescent="0.25">
      <c r="A4047"/>
    </row>
    <row r="4048" spans="1:1" ht="15" customHeight="1" x14ac:dyDescent="0.25">
      <c r="A4048"/>
    </row>
    <row r="4049" spans="1:1" ht="15" customHeight="1" x14ac:dyDescent="0.25">
      <c r="A4049"/>
    </row>
    <row r="4050" spans="1:1" ht="15" customHeight="1" x14ac:dyDescent="0.25">
      <c r="A4050"/>
    </row>
    <row r="4051" spans="1:1" ht="15" customHeight="1" x14ac:dyDescent="0.25">
      <c r="A4051"/>
    </row>
    <row r="4052" spans="1:1" ht="15" customHeight="1" x14ac:dyDescent="0.25">
      <c r="A4052"/>
    </row>
    <row r="4053" spans="1:1" ht="15" customHeight="1" x14ac:dyDescent="0.25">
      <c r="A4053"/>
    </row>
    <row r="4054" spans="1:1" ht="15" customHeight="1" x14ac:dyDescent="0.25">
      <c r="A4054"/>
    </row>
    <row r="4055" spans="1:1" ht="15" customHeight="1" x14ac:dyDescent="0.25">
      <c r="A4055"/>
    </row>
    <row r="4056" spans="1:1" ht="15" customHeight="1" x14ac:dyDescent="0.25">
      <c r="A4056"/>
    </row>
    <row r="4057" spans="1:1" ht="15" customHeight="1" x14ac:dyDescent="0.25">
      <c r="A4057"/>
    </row>
    <row r="4058" spans="1:1" ht="15" customHeight="1" x14ac:dyDescent="0.25">
      <c r="A4058"/>
    </row>
    <row r="4059" spans="1:1" ht="15" customHeight="1" x14ac:dyDescent="0.25">
      <c r="A4059"/>
    </row>
    <row r="4060" spans="1:1" ht="15" customHeight="1" x14ac:dyDescent="0.25">
      <c r="A4060"/>
    </row>
    <row r="4061" spans="1:1" ht="15" customHeight="1" x14ac:dyDescent="0.25">
      <c r="A4061"/>
    </row>
    <row r="4062" spans="1:1" ht="15" customHeight="1" x14ac:dyDescent="0.25">
      <c r="A4062"/>
    </row>
    <row r="4063" spans="1:1" ht="15" customHeight="1" x14ac:dyDescent="0.25">
      <c r="A4063"/>
    </row>
    <row r="4064" spans="1:1" ht="15" customHeight="1" x14ac:dyDescent="0.25">
      <c r="A4064"/>
    </row>
    <row r="4065" spans="1:1" ht="15" customHeight="1" x14ac:dyDescent="0.25">
      <c r="A4065"/>
    </row>
    <row r="4066" spans="1:1" ht="15" customHeight="1" x14ac:dyDescent="0.25">
      <c r="A4066"/>
    </row>
    <row r="4067" spans="1:1" ht="15" customHeight="1" x14ac:dyDescent="0.25">
      <c r="A4067"/>
    </row>
    <row r="4068" spans="1:1" ht="15" customHeight="1" x14ac:dyDescent="0.25">
      <c r="A4068"/>
    </row>
    <row r="4069" spans="1:1" ht="15" customHeight="1" x14ac:dyDescent="0.25">
      <c r="A4069"/>
    </row>
    <row r="4070" spans="1:1" ht="15" customHeight="1" x14ac:dyDescent="0.25">
      <c r="A4070"/>
    </row>
    <row r="4071" spans="1:1" ht="15" customHeight="1" x14ac:dyDescent="0.25">
      <c r="A4071"/>
    </row>
    <row r="4072" spans="1:1" ht="15" customHeight="1" x14ac:dyDescent="0.25">
      <c r="A4072"/>
    </row>
    <row r="4073" spans="1:1" ht="15" customHeight="1" x14ac:dyDescent="0.25">
      <c r="A4073"/>
    </row>
    <row r="4074" spans="1:1" ht="15" customHeight="1" x14ac:dyDescent="0.25">
      <c r="A4074"/>
    </row>
    <row r="4075" spans="1:1" ht="15" customHeight="1" x14ac:dyDescent="0.25">
      <c r="A4075"/>
    </row>
    <row r="4076" spans="1:1" ht="15" customHeight="1" x14ac:dyDescent="0.25">
      <c r="A4076"/>
    </row>
    <row r="4077" spans="1:1" ht="15" customHeight="1" x14ac:dyDescent="0.25">
      <c r="A4077"/>
    </row>
    <row r="4078" spans="1:1" ht="15" customHeight="1" x14ac:dyDescent="0.25">
      <c r="A4078"/>
    </row>
    <row r="4079" spans="1:1" ht="15" customHeight="1" x14ac:dyDescent="0.25">
      <c r="A4079"/>
    </row>
    <row r="4080" spans="1:1" ht="15" customHeight="1" x14ac:dyDescent="0.25">
      <c r="A4080"/>
    </row>
    <row r="4081" spans="1:1" ht="15" customHeight="1" x14ac:dyDescent="0.25">
      <c r="A4081"/>
    </row>
    <row r="4082" spans="1:1" ht="15" customHeight="1" x14ac:dyDescent="0.25">
      <c r="A4082"/>
    </row>
    <row r="4083" spans="1:1" ht="15" customHeight="1" x14ac:dyDescent="0.25">
      <c r="A4083"/>
    </row>
    <row r="4084" spans="1:1" ht="15" customHeight="1" x14ac:dyDescent="0.25">
      <c r="A4084"/>
    </row>
    <row r="4085" spans="1:1" ht="15" customHeight="1" x14ac:dyDescent="0.25">
      <c r="A4085"/>
    </row>
    <row r="4086" spans="1:1" ht="15" customHeight="1" x14ac:dyDescent="0.25">
      <c r="A4086"/>
    </row>
    <row r="4087" spans="1:1" ht="15" customHeight="1" x14ac:dyDescent="0.25">
      <c r="A4087"/>
    </row>
    <row r="4088" spans="1:1" ht="15" customHeight="1" x14ac:dyDescent="0.25">
      <c r="A4088"/>
    </row>
    <row r="4089" spans="1:1" ht="15" customHeight="1" x14ac:dyDescent="0.25">
      <c r="A4089"/>
    </row>
    <row r="4090" spans="1:1" ht="15" customHeight="1" x14ac:dyDescent="0.25">
      <c r="A4090"/>
    </row>
    <row r="4091" spans="1:1" ht="15" customHeight="1" x14ac:dyDescent="0.25">
      <c r="A4091"/>
    </row>
    <row r="4092" spans="1:1" ht="15" customHeight="1" x14ac:dyDescent="0.25">
      <c r="A4092"/>
    </row>
    <row r="4093" spans="1:1" ht="15" customHeight="1" x14ac:dyDescent="0.25">
      <c r="A4093"/>
    </row>
    <row r="4094" spans="1:1" ht="15" customHeight="1" x14ac:dyDescent="0.25">
      <c r="A4094"/>
    </row>
    <row r="4095" spans="1:1" ht="15" customHeight="1" x14ac:dyDescent="0.25">
      <c r="A4095"/>
    </row>
    <row r="4096" spans="1:1" ht="15" customHeight="1" x14ac:dyDescent="0.25">
      <c r="A4096"/>
    </row>
    <row r="4097" spans="1:1" ht="15" customHeight="1" x14ac:dyDescent="0.25">
      <c r="A4097"/>
    </row>
    <row r="4098" spans="1:1" ht="15" customHeight="1" x14ac:dyDescent="0.25">
      <c r="A4098"/>
    </row>
    <row r="4099" spans="1:1" ht="15" customHeight="1" x14ac:dyDescent="0.25">
      <c r="A4099"/>
    </row>
    <row r="4100" spans="1:1" ht="15" customHeight="1" x14ac:dyDescent="0.25">
      <c r="A4100"/>
    </row>
    <row r="4101" spans="1:1" ht="15" customHeight="1" x14ac:dyDescent="0.25">
      <c r="A4101"/>
    </row>
    <row r="4102" spans="1:1" ht="15" customHeight="1" x14ac:dyDescent="0.25">
      <c r="A4102"/>
    </row>
    <row r="4103" spans="1:1" ht="15" customHeight="1" x14ac:dyDescent="0.25">
      <c r="A4103"/>
    </row>
    <row r="4104" spans="1:1" ht="15" customHeight="1" x14ac:dyDescent="0.25">
      <c r="A4104"/>
    </row>
    <row r="4105" spans="1:1" ht="15" customHeight="1" x14ac:dyDescent="0.25">
      <c r="A4105"/>
    </row>
    <row r="4106" spans="1:1" ht="15" customHeight="1" x14ac:dyDescent="0.25">
      <c r="A4106"/>
    </row>
    <row r="4107" spans="1:1" ht="15" customHeight="1" x14ac:dyDescent="0.25">
      <c r="A4107"/>
    </row>
    <row r="4108" spans="1:1" ht="15" customHeight="1" x14ac:dyDescent="0.25">
      <c r="A4108"/>
    </row>
    <row r="4109" spans="1:1" ht="15" customHeight="1" x14ac:dyDescent="0.25">
      <c r="A4109"/>
    </row>
    <row r="4110" spans="1:1" ht="15" customHeight="1" x14ac:dyDescent="0.25">
      <c r="A4110"/>
    </row>
    <row r="4111" spans="1:1" ht="15" customHeight="1" x14ac:dyDescent="0.25">
      <c r="A4111"/>
    </row>
    <row r="4112" spans="1:1" ht="15" customHeight="1" x14ac:dyDescent="0.25">
      <c r="A4112"/>
    </row>
    <row r="4113" spans="1:1" ht="15" customHeight="1" x14ac:dyDescent="0.25">
      <c r="A4113"/>
    </row>
    <row r="4114" spans="1:1" ht="15" customHeight="1" x14ac:dyDescent="0.25">
      <c r="A4114"/>
    </row>
    <row r="4115" spans="1:1" ht="15" customHeight="1" x14ac:dyDescent="0.25">
      <c r="A4115"/>
    </row>
    <row r="4116" spans="1:1" ht="15" customHeight="1" x14ac:dyDescent="0.25">
      <c r="A4116"/>
    </row>
    <row r="4117" spans="1:1" ht="15" customHeight="1" x14ac:dyDescent="0.25">
      <c r="A4117"/>
    </row>
    <row r="4118" spans="1:1" ht="15" customHeight="1" x14ac:dyDescent="0.25">
      <c r="A4118"/>
    </row>
    <row r="4119" spans="1:1" ht="15" customHeight="1" x14ac:dyDescent="0.25">
      <c r="A4119"/>
    </row>
    <row r="4120" spans="1:1" ht="15" customHeight="1" x14ac:dyDescent="0.25">
      <c r="A4120"/>
    </row>
    <row r="4121" spans="1:1" ht="15" customHeight="1" x14ac:dyDescent="0.25">
      <c r="A4121"/>
    </row>
    <row r="4122" spans="1:1" ht="15" customHeight="1" x14ac:dyDescent="0.25">
      <c r="A4122"/>
    </row>
    <row r="4123" spans="1:1" ht="15" customHeight="1" x14ac:dyDescent="0.25">
      <c r="A4123"/>
    </row>
    <row r="4124" spans="1:1" ht="15" customHeight="1" x14ac:dyDescent="0.25">
      <c r="A4124"/>
    </row>
    <row r="4125" spans="1:1" ht="15" customHeight="1" x14ac:dyDescent="0.25">
      <c r="A4125"/>
    </row>
    <row r="4126" spans="1:1" ht="15" customHeight="1" x14ac:dyDescent="0.25">
      <c r="A4126"/>
    </row>
    <row r="4127" spans="1:1" ht="15" customHeight="1" x14ac:dyDescent="0.25">
      <c r="A4127"/>
    </row>
    <row r="4128" spans="1:1" ht="15" customHeight="1" x14ac:dyDescent="0.25">
      <c r="A4128"/>
    </row>
    <row r="4129" spans="1:1" ht="15" customHeight="1" x14ac:dyDescent="0.25">
      <c r="A4129"/>
    </row>
    <row r="4130" spans="1:1" ht="15" customHeight="1" x14ac:dyDescent="0.25">
      <c r="A4130"/>
    </row>
    <row r="4131" spans="1:1" ht="15" customHeight="1" x14ac:dyDescent="0.25">
      <c r="A4131"/>
    </row>
    <row r="4132" spans="1:1" ht="15" customHeight="1" x14ac:dyDescent="0.25">
      <c r="A4132"/>
    </row>
    <row r="4133" spans="1:1" ht="15" customHeight="1" x14ac:dyDescent="0.25">
      <c r="A4133"/>
    </row>
    <row r="4134" spans="1:1" ht="15" customHeight="1" x14ac:dyDescent="0.25">
      <c r="A4134"/>
    </row>
    <row r="4135" spans="1:1" ht="15" customHeight="1" x14ac:dyDescent="0.25">
      <c r="A4135"/>
    </row>
    <row r="4136" spans="1:1" ht="15" customHeight="1" x14ac:dyDescent="0.25">
      <c r="A4136"/>
    </row>
    <row r="4137" spans="1:1" ht="15" customHeight="1" x14ac:dyDescent="0.25">
      <c r="A4137"/>
    </row>
    <row r="4138" spans="1:1" ht="15" customHeight="1" x14ac:dyDescent="0.25">
      <c r="A4138"/>
    </row>
    <row r="4139" spans="1:1" ht="15" customHeight="1" x14ac:dyDescent="0.25">
      <c r="A4139"/>
    </row>
    <row r="4140" spans="1:1" ht="15" customHeight="1" x14ac:dyDescent="0.25">
      <c r="A4140"/>
    </row>
    <row r="4141" spans="1:1" ht="15" customHeight="1" x14ac:dyDescent="0.25">
      <c r="A4141"/>
    </row>
    <row r="4142" spans="1:1" ht="15" customHeight="1" x14ac:dyDescent="0.25">
      <c r="A4142"/>
    </row>
    <row r="4143" spans="1:1" ht="15" customHeight="1" x14ac:dyDescent="0.25">
      <c r="A4143"/>
    </row>
    <row r="4144" spans="1:1" ht="15" customHeight="1" x14ac:dyDescent="0.25">
      <c r="A4144"/>
    </row>
    <row r="4145" spans="1:1" ht="15" customHeight="1" x14ac:dyDescent="0.25">
      <c r="A4145"/>
    </row>
    <row r="4146" spans="1:1" ht="15" customHeight="1" x14ac:dyDescent="0.25">
      <c r="A4146"/>
    </row>
    <row r="4147" spans="1:1" ht="15" customHeight="1" x14ac:dyDescent="0.25">
      <c r="A4147"/>
    </row>
    <row r="4148" spans="1:1" ht="15" customHeight="1" x14ac:dyDescent="0.25">
      <c r="A4148"/>
    </row>
    <row r="4149" spans="1:1" ht="15" customHeight="1" x14ac:dyDescent="0.25">
      <c r="A4149"/>
    </row>
    <row r="4150" spans="1:1" ht="15" customHeight="1" x14ac:dyDescent="0.25">
      <c r="A4150"/>
    </row>
    <row r="4151" spans="1:1" ht="15" customHeight="1" x14ac:dyDescent="0.25">
      <c r="A4151"/>
    </row>
    <row r="4152" spans="1:1" ht="15" customHeight="1" x14ac:dyDescent="0.25">
      <c r="A4152"/>
    </row>
    <row r="4153" spans="1:1" ht="15" customHeight="1" x14ac:dyDescent="0.25">
      <c r="A4153"/>
    </row>
    <row r="4154" spans="1:1" ht="15" customHeight="1" x14ac:dyDescent="0.25">
      <c r="A4154"/>
    </row>
    <row r="4155" spans="1:1" ht="15" customHeight="1" x14ac:dyDescent="0.25">
      <c r="A4155"/>
    </row>
    <row r="4156" spans="1:1" ht="15" customHeight="1" x14ac:dyDescent="0.25">
      <c r="A4156"/>
    </row>
    <row r="4157" spans="1:1" ht="15" customHeight="1" x14ac:dyDescent="0.25">
      <c r="A4157"/>
    </row>
    <row r="4158" spans="1:1" ht="15" customHeight="1" x14ac:dyDescent="0.25">
      <c r="A4158"/>
    </row>
    <row r="4159" spans="1:1" ht="15" customHeight="1" x14ac:dyDescent="0.25">
      <c r="A4159"/>
    </row>
    <row r="4160" spans="1:1" ht="15" customHeight="1" x14ac:dyDescent="0.25">
      <c r="A4160"/>
    </row>
    <row r="4161" spans="1:1" ht="15" customHeight="1" x14ac:dyDescent="0.25">
      <c r="A4161"/>
    </row>
    <row r="4162" spans="1:1" ht="15" customHeight="1" x14ac:dyDescent="0.25">
      <c r="A4162"/>
    </row>
    <row r="4163" spans="1:1" ht="15" customHeight="1" x14ac:dyDescent="0.25">
      <c r="A4163"/>
    </row>
    <row r="4164" spans="1:1" ht="15" customHeight="1" x14ac:dyDescent="0.25">
      <c r="A4164"/>
    </row>
    <row r="4165" spans="1:1" ht="15" customHeight="1" x14ac:dyDescent="0.25">
      <c r="A4165"/>
    </row>
    <row r="4166" spans="1:1" ht="15" customHeight="1" x14ac:dyDescent="0.25">
      <c r="A4166"/>
    </row>
    <row r="4167" spans="1:1" ht="15" customHeight="1" x14ac:dyDescent="0.25">
      <c r="A4167"/>
    </row>
    <row r="4168" spans="1:1" ht="15" customHeight="1" x14ac:dyDescent="0.25">
      <c r="A4168"/>
    </row>
    <row r="4169" spans="1:1" ht="15" customHeight="1" x14ac:dyDescent="0.25">
      <c r="A4169"/>
    </row>
    <row r="4170" spans="1:1" ht="15" customHeight="1" x14ac:dyDescent="0.25">
      <c r="A4170"/>
    </row>
    <row r="4171" spans="1:1" ht="15" customHeight="1" x14ac:dyDescent="0.25">
      <c r="A4171"/>
    </row>
    <row r="4172" spans="1:1" ht="15" customHeight="1" x14ac:dyDescent="0.25">
      <c r="A4172"/>
    </row>
    <row r="4173" spans="1:1" ht="15" customHeight="1" x14ac:dyDescent="0.25">
      <c r="A4173"/>
    </row>
    <row r="4174" spans="1:1" ht="15" customHeight="1" x14ac:dyDescent="0.25">
      <c r="A4174"/>
    </row>
    <row r="4175" spans="1:1" ht="15" customHeight="1" x14ac:dyDescent="0.25">
      <c r="A4175"/>
    </row>
    <row r="4176" spans="1:1" ht="15" customHeight="1" x14ac:dyDescent="0.25">
      <c r="A4176"/>
    </row>
    <row r="4177" spans="1:1" ht="15" customHeight="1" x14ac:dyDescent="0.25">
      <c r="A4177"/>
    </row>
    <row r="4178" spans="1:1" ht="15" customHeight="1" x14ac:dyDescent="0.25">
      <c r="A4178"/>
    </row>
    <row r="4179" spans="1:1" ht="15" customHeight="1" x14ac:dyDescent="0.25">
      <c r="A4179"/>
    </row>
    <row r="4180" spans="1:1" ht="15" customHeight="1" x14ac:dyDescent="0.25">
      <c r="A4180"/>
    </row>
    <row r="4181" spans="1:1" ht="15" customHeight="1" x14ac:dyDescent="0.25">
      <c r="A4181"/>
    </row>
    <row r="4182" spans="1:1" ht="15" customHeight="1" x14ac:dyDescent="0.25">
      <c r="A4182"/>
    </row>
    <row r="4183" spans="1:1" ht="15" customHeight="1" x14ac:dyDescent="0.25">
      <c r="A4183"/>
    </row>
    <row r="4184" spans="1:1" ht="15" customHeight="1" x14ac:dyDescent="0.25">
      <c r="A4184"/>
    </row>
    <row r="4185" spans="1:1" ht="15" customHeight="1" x14ac:dyDescent="0.25">
      <c r="A4185"/>
    </row>
    <row r="4186" spans="1:1" ht="15" customHeight="1" x14ac:dyDescent="0.25">
      <c r="A4186"/>
    </row>
    <row r="4187" spans="1:1" ht="15" customHeight="1" x14ac:dyDescent="0.25">
      <c r="A4187"/>
    </row>
    <row r="4188" spans="1:1" ht="15" customHeight="1" x14ac:dyDescent="0.25">
      <c r="A4188"/>
    </row>
    <row r="4189" spans="1:1" ht="15" customHeight="1" x14ac:dyDescent="0.25">
      <c r="A4189"/>
    </row>
    <row r="4190" spans="1:1" ht="15" customHeight="1" x14ac:dyDescent="0.25">
      <c r="A4190"/>
    </row>
    <row r="4191" spans="1:1" ht="15" customHeight="1" x14ac:dyDescent="0.25">
      <c r="A4191"/>
    </row>
    <row r="4192" spans="1:1" ht="15" customHeight="1" x14ac:dyDescent="0.25">
      <c r="A4192"/>
    </row>
    <row r="4193" spans="1:1" ht="15" customHeight="1" x14ac:dyDescent="0.25">
      <c r="A4193"/>
    </row>
    <row r="4194" spans="1:1" ht="15" customHeight="1" x14ac:dyDescent="0.25">
      <c r="A4194"/>
    </row>
    <row r="4195" spans="1:1" ht="15" customHeight="1" x14ac:dyDescent="0.25">
      <c r="A4195"/>
    </row>
    <row r="4196" spans="1:1" ht="15" customHeight="1" x14ac:dyDescent="0.25">
      <c r="A4196"/>
    </row>
    <row r="4197" spans="1:1" ht="15" customHeight="1" x14ac:dyDescent="0.25">
      <c r="A4197"/>
    </row>
    <row r="4198" spans="1:1" ht="15" customHeight="1" x14ac:dyDescent="0.25">
      <c r="A4198"/>
    </row>
    <row r="4199" spans="1:1" ht="15" customHeight="1" x14ac:dyDescent="0.25">
      <c r="A4199"/>
    </row>
    <row r="4200" spans="1:1" ht="15" customHeight="1" x14ac:dyDescent="0.25">
      <c r="A4200"/>
    </row>
    <row r="4201" spans="1:1" ht="15" customHeight="1" x14ac:dyDescent="0.25">
      <c r="A4201"/>
    </row>
    <row r="4202" spans="1:1" ht="15" customHeight="1" x14ac:dyDescent="0.25">
      <c r="A4202"/>
    </row>
    <row r="4203" spans="1:1" ht="15" customHeight="1" x14ac:dyDescent="0.25">
      <c r="A4203"/>
    </row>
    <row r="4204" spans="1:1" ht="15" customHeight="1" x14ac:dyDescent="0.25">
      <c r="A4204"/>
    </row>
    <row r="4205" spans="1:1" ht="15" customHeight="1" x14ac:dyDescent="0.25">
      <c r="A4205"/>
    </row>
    <row r="4206" spans="1:1" ht="15" customHeight="1" x14ac:dyDescent="0.25">
      <c r="A4206"/>
    </row>
    <row r="4207" spans="1:1" ht="15" customHeight="1" x14ac:dyDescent="0.25">
      <c r="A4207"/>
    </row>
    <row r="4208" spans="1:1" ht="15" customHeight="1" x14ac:dyDescent="0.25">
      <c r="A4208"/>
    </row>
    <row r="4209" spans="1:1" ht="15" customHeight="1" x14ac:dyDescent="0.25">
      <c r="A4209"/>
    </row>
    <row r="4210" spans="1:1" ht="15" customHeight="1" x14ac:dyDescent="0.25">
      <c r="A4210"/>
    </row>
    <row r="4211" spans="1:1" ht="15" customHeight="1" x14ac:dyDescent="0.25">
      <c r="A4211"/>
    </row>
    <row r="4212" spans="1:1" ht="15" customHeight="1" x14ac:dyDescent="0.25">
      <c r="A4212"/>
    </row>
    <row r="4213" spans="1:1" ht="15" customHeight="1" x14ac:dyDescent="0.25">
      <c r="A4213"/>
    </row>
    <row r="4214" spans="1:1" ht="15" customHeight="1" x14ac:dyDescent="0.25">
      <c r="A4214"/>
    </row>
    <row r="4215" spans="1:1" ht="15" customHeight="1" x14ac:dyDescent="0.25">
      <c r="A4215"/>
    </row>
    <row r="4216" spans="1:1" ht="15" customHeight="1" x14ac:dyDescent="0.25">
      <c r="A4216"/>
    </row>
    <row r="4217" spans="1:1" ht="15" customHeight="1" x14ac:dyDescent="0.25">
      <c r="A4217"/>
    </row>
    <row r="4218" spans="1:1" ht="15" customHeight="1" x14ac:dyDescent="0.25">
      <c r="A4218"/>
    </row>
    <row r="4219" spans="1:1" ht="15" customHeight="1" x14ac:dyDescent="0.25">
      <c r="A4219"/>
    </row>
    <row r="4220" spans="1:1" ht="15" customHeight="1" x14ac:dyDescent="0.25">
      <c r="A4220"/>
    </row>
    <row r="4221" spans="1:1" ht="15" customHeight="1" x14ac:dyDescent="0.25">
      <c r="A4221"/>
    </row>
    <row r="4222" spans="1:1" ht="15" customHeight="1" x14ac:dyDescent="0.25">
      <c r="A4222"/>
    </row>
    <row r="4223" spans="1:1" ht="15" customHeight="1" x14ac:dyDescent="0.25">
      <c r="A4223"/>
    </row>
    <row r="4224" spans="1:1" ht="15" customHeight="1" x14ac:dyDescent="0.25">
      <c r="A4224"/>
    </row>
    <row r="4225" spans="1:1" ht="15" customHeight="1" x14ac:dyDescent="0.25">
      <c r="A4225"/>
    </row>
    <row r="4226" spans="1:1" ht="15" customHeight="1" x14ac:dyDescent="0.25">
      <c r="A4226"/>
    </row>
    <row r="4227" spans="1:1" ht="15" customHeight="1" x14ac:dyDescent="0.25">
      <c r="A4227"/>
    </row>
    <row r="4228" spans="1:1" ht="15" customHeight="1" x14ac:dyDescent="0.25">
      <c r="A4228"/>
    </row>
    <row r="4229" spans="1:1" ht="15" customHeight="1" x14ac:dyDescent="0.25">
      <c r="A4229"/>
    </row>
    <row r="4230" spans="1:1" ht="15" customHeight="1" x14ac:dyDescent="0.25">
      <c r="A4230"/>
    </row>
    <row r="4231" spans="1:1" ht="15" customHeight="1" x14ac:dyDescent="0.25">
      <c r="A4231"/>
    </row>
    <row r="4232" spans="1:1" ht="15" customHeight="1" x14ac:dyDescent="0.25">
      <c r="A4232"/>
    </row>
    <row r="4233" spans="1:1" ht="15" customHeight="1" x14ac:dyDescent="0.25">
      <c r="A4233"/>
    </row>
    <row r="4234" spans="1:1" ht="15" customHeight="1" x14ac:dyDescent="0.25">
      <c r="A4234"/>
    </row>
    <row r="4235" spans="1:1" ht="15" customHeight="1" x14ac:dyDescent="0.25">
      <c r="A4235"/>
    </row>
    <row r="4236" spans="1:1" ht="15" customHeight="1" x14ac:dyDescent="0.25">
      <c r="A4236"/>
    </row>
    <row r="4237" spans="1:1" ht="15" customHeight="1" x14ac:dyDescent="0.25">
      <c r="A4237"/>
    </row>
    <row r="4238" spans="1:1" ht="15" customHeight="1" x14ac:dyDescent="0.25">
      <c r="A4238"/>
    </row>
    <row r="4239" spans="1:1" ht="15" customHeight="1" x14ac:dyDescent="0.25">
      <c r="A4239"/>
    </row>
    <row r="4240" spans="1:1" ht="15" customHeight="1" x14ac:dyDescent="0.25">
      <c r="A4240"/>
    </row>
    <row r="4241" spans="1:1" ht="15" customHeight="1" x14ac:dyDescent="0.25">
      <c r="A4241"/>
    </row>
    <row r="4242" spans="1:1" ht="15" customHeight="1" x14ac:dyDescent="0.25">
      <c r="A4242"/>
    </row>
    <row r="4243" spans="1:1" ht="15" customHeight="1" x14ac:dyDescent="0.25">
      <c r="A4243"/>
    </row>
    <row r="4244" spans="1:1" ht="15" customHeight="1" x14ac:dyDescent="0.25">
      <c r="A4244"/>
    </row>
    <row r="4245" spans="1:1" ht="15" customHeight="1" x14ac:dyDescent="0.25">
      <c r="A4245"/>
    </row>
    <row r="4246" spans="1:1" ht="15" customHeight="1" x14ac:dyDescent="0.25">
      <c r="A4246"/>
    </row>
    <row r="4247" spans="1:1" ht="15" customHeight="1" x14ac:dyDescent="0.25">
      <c r="A4247"/>
    </row>
    <row r="4248" spans="1:1" ht="15" customHeight="1" x14ac:dyDescent="0.25">
      <c r="A4248"/>
    </row>
    <row r="4249" spans="1:1" ht="15" customHeight="1" x14ac:dyDescent="0.25">
      <c r="A4249"/>
    </row>
    <row r="4250" spans="1:1" ht="15" customHeight="1" x14ac:dyDescent="0.25">
      <c r="A4250"/>
    </row>
    <row r="4251" spans="1:1" ht="15" customHeight="1" x14ac:dyDescent="0.25">
      <c r="A4251"/>
    </row>
    <row r="4252" spans="1:1" ht="15" customHeight="1" x14ac:dyDescent="0.25">
      <c r="A4252"/>
    </row>
    <row r="4253" spans="1:1" ht="15" customHeight="1" x14ac:dyDescent="0.25">
      <c r="A4253"/>
    </row>
    <row r="4254" spans="1:1" ht="15" customHeight="1" x14ac:dyDescent="0.25">
      <c r="A4254"/>
    </row>
    <row r="4255" spans="1:1" ht="15" customHeight="1" x14ac:dyDescent="0.25">
      <c r="A4255"/>
    </row>
    <row r="4256" spans="1:1" ht="15" customHeight="1" x14ac:dyDescent="0.25">
      <c r="A4256"/>
    </row>
    <row r="4257" spans="1:1" ht="15" customHeight="1" x14ac:dyDescent="0.25">
      <c r="A4257"/>
    </row>
    <row r="4258" spans="1:1" ht="15" customHeight="1" x14ac:dyDescent="0.25">
      <c r="A4258"/>
    </row>
    <row r="4259" spans="1:1" ht="15" customHeight="1" x14ac:dyDescent="0.25">
      <c r="A4259"/>
    </row>
    <row r="4260" spans="1:1" ht="15" customHeight="1" x14ac:dyDescent="0.25">
      <c r="A4260"/>
    </row>
    <row r="4261" spans="1:1" ht="15" customHeight="1" x14ac:dyDescent="0.25">
      <c r="A4261"/>
    </row>
    <row r="4262" spans="1:1" ht="15" customHeight="1" x14ac:dyDescent="0.25">
      <c r="A4262"/>
    </row>
    <row r="4263" spans="1:1" ht="15" customHeight="1" x14ac:dyDescent="0.25">
      <c r="A4263"/>
    </row>
    <row r="4264" spans="1:1" ht="15" customHeight="1" x14ac:dyDescent="0.25">
      <c r="A4264"/>
    </row>
    <row r="4265" spans="1:1" ht="15" customHeight="1" x14ac:dyDescent="0.25">
      <c r="A4265"/>
    </row>
    <row r="4266" spans="1:1" ht="15" customHeight="1" x14ac:dyDescent="0.25">
      <c r="A4266"/>
    </row>
    <row r="4267" spans="1:1" ht="15" customHeight="1" x14ac:dyDescent="0.25">
      <c r="A4267"/>
    </row>
    <row r="4268" spans="1:1" ht="15" customHeight="1" x14ac:dyDescent="0.25">
      <c r="A4268"/>
    </row>
    <row r="4269" spans="1:1" ht="15" customHeight="1" x14ac:dyDescent="0.25">
      <c r="A4269"/>
    </row>
    <row r="4270" spans="1:1" ht="15" customHeight="1" x14ac:dyDescent="0.25">
      <c r="A4270"/>
    </row>
    <row r="4271" spans="1:1" ht="15" customHeight="1" x14ac:dyDescent="0.25">
      <c r="A4271"/>
    </row>
    <row r="4272" spans="1:1" ht="15" customHeight="1" x14ac:dyDescent="0.25">
      <c r="A4272"/>
    </row>
    <row r="4273" spans="1:1" ht="15" customHeight="1" x14ac:dyDescent="0.25">
      <c r="A4273"/>
    </row>
    <row r="4274" spans="1:1" ht="15" customHeight="1" x14ac:dyDescent="0.25">
      <c r="A4274"/>
    </row>
    <row r="4275" spans="1:1" ht="15" customHeight="1" x14ac:dyDescent="0.25">
      <c r="A4275"/>
    </row>
    <row r="4276" spans="1:1" ht="15" customHeight="1" x14ac:dyDescent="0.25">
      <c r="A4276"/>
    </row>
    <row r="4277" spans="1:1" ht="15" customHeight="1" x14ac:dyDescent="0.25">
      <c r="A4277"/>
    </row>
    <row r="4278" spans="1:1" ht="15" customHeight="1" x14ac:dyDescent="0.25">
      <c r="A4278"/>
    </row>
    <row r="4279" spans="1:1" ht="15" customHeight="1" x14ac:dyDescent="0.25">
      <c r="A4279"/>
    </row>
    <row r="4280" spans="1:1" ht="15" customHeight="1" x14ac:dyDescent="0.25">
      <c r="A4280"/>
    </row>
    <row r="4281" spans="1:1" ht="15" customHeight="1" x14ac:dyDescent="0.25">
      <c r="A4281"/>
    </row>
    <row r="4282" spans="1:1" ht="15" customHeight="1" x14ac:dyDescent="0.25">
      <c r="A4282"/>
    </row>
    <row r="4283" spans="1:1" ht="15" customHeight="1" x14ac:dyDescent="0.25">
      <c r="A4283"/>
    </row>
    <row r="4284" spans="1:1" ht="15" customHeight="1" x14ac:dyDescent="0.25">
      <c r="A4284"/>
    </row>
    <row r="4285" spans="1:1" ht="15" customHeight="1" x14ac:dyDescent="0.25">
      <c r="A4285"/>
    </row>
    <row r="4286" spans="1:1" ht="15" customHeight="1" x14ac:dyDescent="0.25">
      <c r="A4286"/>
    </row>
    <row r="4287" spans="1:1" ht="15" customHeight="1" x14ac:dyDescent="0.25">
      <c r="A4287"/>
    </row>
    <row r="4288" spans="1:1" ht="15" customHeight="1" x14ac:dyDescent="0.25">
      <c r="A4288"/>
    </row>
    <row r="4289" spans="1:1" ht="15" customHeight="1" x14ac:dyDescent="0.25">
      <c r="A4289"/>
    </row>
    <row r="4290" spans="1:1" ht="15" customHeight="1" x14ac:dyDescent="0.25">
      <c r="A4290"/>
    </row>
    <row r="4291" spans="1:1" ht="15" customHeight="1" x14ac:dyDescent="0.25">
      <c r="A4291"/>
    </row>
    <row r="4292" spans="1:1" ht="15" customHeight="1" x14ac:dyDescent="0.25">
      <c r="A4292"/>
    </row>
    <row r="4293" spans="1:1" ht="15" customHeight="1" x14ac:dyDescent="0.25">
      <c r="A4293"/>
    </row>
    <row r="4294" spans="1:1" ht="15" customHeight="1" x14ac:dyDescent="0.25">
      <c r="A4294"/>
    </row>
    <row r="4295" spans="1:1" ht="15" customHeight="1" x14ac:dyDescent="0.25">
      <c r="A4295"/>
    </row>
    <row r="4296" spans="1:1" ht="15" customHeight="1" x14ac:dyDescent="0.25">
      <c r="A4296"/>
    </row>
    <row r="4297" spans="1:1" ht="15" customHeight="1" x14ac:dyDescent="0.25">
      <c r="A4297"/>
    </row>
    <row r="4298" spans="1:1" ht="15" customHeight="1" x14ac:dyDescent="0.25">
      <c r="A4298"/>
    </row>
    <row r="4299" spans="1:1" ht="15" customHeight="1" x14ac:dyDescent="0.25">
      <c r="A4299"/>
    </row>
    <row r="4300" spans="1:1" ht="15" customHeight="1" x14ac:dyDescent="0.25">
      <c r="A4300"/>
    </row>
    <row r="4301" spans="1:1" ht="15" customHeight="1" x14ac:dyDescent="0.25">
      <c r="A4301"/>
    </row>
    <row r="4302" spans="1:1" ht="15" customHeight="1" x14ac:dyDescent="0.25">
      <c r="A4302"/>
    </row>
    <row r="4303" spans="1:1" ht="15" customHeight="1" x14ac:dyDescent="0.25">
      <c r="A4303"/>
    </row>
    <row r="4304" spans="1:1" ht="15" customHeight="1" x14ac:dyDescent="0.25">
      <c r="A4304"/>
    </row>
    <row r="4305" spans="1:1" ht="15" customHeight="1" x14ac:dyDescent="0.25">
      <c r="A4305"/>
    </row>
    <row r="4306" spans="1:1" ht="15" customHeight="1" x14ac:dyDescent="0.25">
      <c r="A4306"/>
    </row>
    <row r="4307" spans="1:1" ht="15" customHeight="1" x14ac:dyDescent="0.25">
      <c r="A4307"/>
    </row>
    <row r="4308" spans="1:1" ht="15" customHeight="1" x14ac:dyDescent="0.25">
      <c r="A4308"/>
    </row>
    <row r="4309" spans="1:1" ht="15" customHeight="1" x14ac:dyDescent="0.25">
      <c r="A4309"/>
    </row>
    <row r="4310" spans="1:1" ht="15" customHeight="1" x14ac:dyDescent="0.25">
      <c r="A4310"/>
    </row>
    <row r="4311" spans="1:1" ht="15" customHeight="1" x14ac:dyDescent="0.25">
      <c r="A4311"/>
    </row>
    <row r="4312" spans="1:1" ht="15" customHeight="1" x14ac:dyDescent="0.25">
      <c r="A4312"/>
    </row>
    <row r="4313" spans="1:1" ht="15" customHeight="1" x14ac:dyDescent="0.25">
      <c r="A4313"/>
    </row>
    <row r="4314" spans="1:1" ht="15" customHeight="1" x14ac:dyDescent="0.25">
      <c r="A4314"/>
    </row>
    <row r="4315" spans="1:1" ht="15" customHeight="1" x14ac:dyDescent="0.25">
      <c r="A4315"/>
    </row>
    <row r="4316" spans="1:1" ht="15" customHeight="1" x14ac:dyDescent="0.25">
      <c r="A4316"/>
    </row>
    <row r="4317" spans="1:1" ht="15" customHeight="1" x14ac:dyDescent="0.25">
      <c r="A4317"/>
    </row>
    <row r="4318" spans="1:1" ht="15" customHeight="1" x14ac:dyDescent="0.25">
      <c r="A4318"/>
    </row>
    <row r="4319" spans="1:1" ht="15" customHeight="1" x14ac:dyDescent="0.25">
      <c r="A4319"/>
    </row>
    <row r="4320" spans="1:1" ht="15" customHeight="1" x14ac:dyDescent="0.25">
      <c r="A4320"/>
    </row>
    <row r="4321" spans="1:1" ht="15" customHeight="1" x14ac:dyDescent="0.25">
      <c r="A4321"/>
    </row>
    <row r="4322" spans="1:1" ht="15" customHeight="1" x14ac:dyDescent="0.25">
      <c r="A4322"/>
    </row>
    <row r="4323" spans="1:1" ht="15" customHeight="1" x14ac:dyDescent="0.25">
      <c r="A4323"/>
    </row>
    <row r="4324" spans="1:1" ht="15" customHeight="1" x14ac:dyDescent="0.25">
      <c r="A4324"/>
    </row>
    <row r="4325" spans="1:1" ht="15" customHeight="1" x14ac:dyDescent="0.25">
      <c r="A4325"/>
    </row>
    <row r="4326" spans="1:1" ht="15" customHeight="1" x14ac:dyDescent="0.25">
      <c r="A4326"/>
    </row>
    <row r="4327" spans="1:1" ht="15" customHeight="1" x14ac:dyDescent="0.25">
      <c r="A4327"/>
    </row>
    <row r="4328" spans="1:1" ht="15" customHeight="1" x14ac:dyDescent="0.25">
      <c r="A4328"/>
    </row>
    <row r="4329" spans="1:1" ht="15" customHeight="1" x14ac:dyDescent="0.25">
      <c r="A4329"/>
    </row>
    <row r="4330" spans="1:1" ht="15" customHeight="1" x14ac:dyDescent="0.25">
      <c r="A4330"/>
    </row>
    <row r="4331" spans="1:1" ht="15" customHeight="1" x14ac:dyDescent="0.25">
      <c r="A4331"/>
    </row>
    <row r="4332" spans="1:1" ht="15" customHeight="1" x14ac:dyDescent="0.25">
      <c r="A4332"/>
    </row>
    <row r="4333" spans="1:1" ht="15" customHeight="1" x14ac:dyDescent="0.25">
      <c r="A4333"/>
    </row>
    <row r="4334" spans="1:1" ht="15" customHeight="1" x14ac:dyDescent="0.25">
      <c r="A4334"/>
    </row>
    <row r="4335" spans="1:1" ht="15" customHeight="1" x14ac:dyDescent="0.25">
      <c r="A4335"/>
    </row>
    <row r="4336" spans="1:1" ht="15" customHeight="1" x14ac:dyDescent="0.25">
      <c r="A4336"/>
    </row>
    <row r="4337" spans="1:1" ht="15" customHeight="1" x14ac:dyDescent="0.25">
      <c r="A4337"/>
    </row>
    <row r="4338" spans="1:1" ht="15" customHeight="1" x14ac:dyDescent="0.25">
      <c r="A4338"/>
    </row>
    <row r="4339" spans="1:1" ht="15" customHeight="1" x14ac:dyDescent="0.25">
      <c r="A4339"/>
    </row>
    <row r="4340" spans="1:1" ht="15" customHeight="1" x14ac:dyDescent="0.25">
      <c r="A4340"/>
    </row>
    <row r="4341" spans="1:1" ht="15" customHeight="1" x14ac:dyDescent="0.25">
      <c r="A4341"/>
    </row>
    <row r="4342" spans="1:1" ht="15" customHeight="1" x14ac:dyDescent="0.25">
      <c r="A4342"/>
    </row>
    <row r="4343" spans="1:1" ht="15" customHeight="1" x14ac:dyDescent="0.25">
      <c r="A4343"/>
    </row>
    <row r="4344" spans="1:1" ht="15" customHeight="1" x14ac:dyDescent="0.25">
      <c r="A4344"/>
    </row>
    <row r="4345" spans="1:1" ht="15" customHeight="1" x14ac:dyDescent="0.25">
      <c r="A4345"/>
    </row>
    <row r="4346" spans="1:1" ht="15" customHeight="1" x14ac:dyDescent="0.25">
      <c r="A4346"/>
    </row>
    <row r="4347" spans="1:1" ht="15" customHeight="1" x14ac:dyDescent="0.25">
      <c r="A4347"/>
    </row>
    <row r="4348" spans="1:1" ht="15" customHeight="1" x14ac:dyDescent="0.25">
      <c r="A4348"/>
    </row>
    <row r="4349" spans="1:1" ht="15" customHeight="1" x14ac:dyDescent="0.25">
      <c r="A4349"/>
    </row>
    <row r="4350" spans="1:1" ht="15" customHeight="1" x14ac:dyDescent="0.25">
      <c r="A4350"/>
    </row>
    <row r="4351" spans="1:1" ht="15" customHeight="1" x14ac:dyDescent="0.25">
      <c r="A4351"/>
    </row>
    <row r="4352" spans="1:1" ht="15" customHeight="1" x14ac:dyDescent="0.25">
      <c r="A4352"/>
    </row>
    <row r="4353" spans="1:1" ht="15" customHeight="1" x14ac:dyDescent="0.25">
      <c r="A4353"/>
    </row>
    <row r="4354" spans="1:1" ht="15" customHeight="1" x14ac:dyDescent="0.25">
      <c r="A4354"/>
    </row>
    <row r="4355" spans="1:1" ht="15" customHeight="1" x14ac:dyDescent="0.25">
      <c r="A4355"/>
    </row>
    <row r="4356" spans="1:1" ht="15" customHeight="1" x14ac:dyDescent="0.25">
      <c r="A4356"/>
    </row>
    <row r="4357" spans="1:1" ht="15" customHeight="1" x14ac:dyDescent="0.25">
      <c r="A4357"/>
    </row>
    <row r="4358" spans="1:1" ht="15" customHeight="1" x14ac:dyDescent="0.25">
      <c r="A4358"/>
    </row>
    <row r="4359" spans="1:1" ht="15" customHeight="1" x14ac:dyDescent="0.25">
      <c r="A4359"/>
    </row>
    <row r="4360" spans="1:1" ht="15" customHeight="1" x14ac:dyDescent="0.25">
      <c r="A4360"/>
    </row>
    <row r="4361" spans="1:1" ht="15" customHeight="1" x14ac:dyDescent="0.25">
      <c r="A4361"/>
    </row>
    <row r="4362" spans="1:1" ht="15" customHeight="1" x14ac:dyDescent="0.25">
      <c r="A4362"/>
    </row>
    <row r="4363" spans="1:1" ht="15" customHeight="1" x14ac:dyDescent="0.25">
      <c r="A4363"/>
    </row>
    <row r="4364" spans="1:1" ht="15" customHeight="1" x14ac:dyDescent="0.25">
      <c r="A4364"/>
    </row>
    <row r="4365" spans="1:1" ht="15" customHeight="1" x14ac:dyDescent="0.25">
      <c r="A4365"/>
    </row>
    <row r="4366" spans="1:1" ht="15" customHeight="1" x14ac:dyDescent="0.25">
      <c r="A4366"/>
    </row>
    <row r="4367" spans="1:1" ht="15" customHeight="1" x14ac:dyDescent="0.25">
      <c r="A4367"/>
    </row>
    <row r="4368" spans="1:1" ht="15" customHeight="1" x14ac:dyDescent="0.25">
      <c r="A4368"/>
    </row>
    <row r="4369" spans="1:1" ht="15" customHeight="1" x14ac:dyDescent="0.25">
      <c r="A4369"/>
    </row>
    <row r="4370" spans="1:1" ht="15" customHeight="1" x14ac:dyDescent="0.25">
      <c r="A4370"/>
    </row>
    <row r="4371" spans="1:1" ht="15" customHeight="1" x14ac:dyDescent="0.25">
      <c r="A4371"/>
    </row>
    <row r="4372" spans="1:1" ht="15" customHeight="1" x14ac:dyDescent="0.25">
      <c r="A4372"/>
    </row>
    <row r="4373" spans="1:1" ht="15" customHeight="1" x14ac:dyDescent="0.25">
      <c r="A4373"/>
    </row>
    <row r="4374" spans="1:1" ht="15" customHeight="1" x14ac:dyDescent="0.25">
      <c r="A4374"/>
    </row>
    <row r="4375" spans="1:1" ht="15" customHeight="1" x14ac:dyDescent="0.25">
      <c r="A4375"/>
    </row>
    <row r="4376" spans="1:1" ht="15" customHeight="1" x14ac:dyDescent="0.25">
      <c r="A4376"/>
    </row>
    <row r="4377" spans="1:1" ht="15" customHeight="1" x14ac:dyDescent="0.25">
      <c r="A4377"/>
    </row>
    <row r="4378" spans="1:1" ht="15" customHeight="1" x14ac:dyDescent="0.25">
      <c r="A4378"/>
    </row>
    <row r="4379" spans="1:1" ht="15" customHeight="1" x14ac:dyDescent="0.25">
      <c r="A4379"/>
    </row>
    <row r="4380" spans="1:1" ht="15" customHeight="1" x14ac:dyDescent="0.25">
      <c r="A4380"/>
    </row>
    <row r="4381" spans="1:1" ht="15" customHeight="1" x14ac:dyDescent="0.25">
      <c r="A4381"/>
    </row>
    <row r="4382" spans="1:1" ht="15" customHeight="1" x14ac:dyDescent="0.25">
      <c r="A4382"/>
    </row>
    <row r="4383" spans="1:1" ht="15" customHeight="1" x14ac:dyDescent="0.25">
      <c r="A4383"/>
    </row>
    <row r="4384" spans="1:1" ht="15" customHeight="1" x14ac:dyDescent="0.25">
      <c r="A4384"/>
    </row>
    <row r="4385" spans="1:1" ht="15" customHeight="1" x14ac:dyDescent="0.25">
      <c r="A4385"/>
    </row>
    <row r="4386" spans="1:1" ht="15" customHeight="1" x14ac:dyDescent="0.25">
      <c r="A4386"/>
    </row>
    <row r="4387" spans="1:1" ht="15" customHeight="1" x14ac:dyDescent="0.25">
      <c r="A4387"/>
    </row>
    <row r="4388" spans="1:1" ht="15" customHeight="1" x14ac:dyDescent="0.25">
      <c r="A4388"/>
    </row>
    <row r="4389" spans="1:1" ht="15" customHeight="1" x14ac:dyDescent="0.25">
      <c r="A4389"/>
    </row>
    <row r="4390" spans="1:1" ht="15" customHeight="1" x14ac:dyDescent="0.25">
      <c r="A4390"/>
    </row>
    <row r="4391" spans="1:1" ht="15" customHeight="1" x14ac:dyDescent="0.25">
      <c r="A4391"/>
    </row>
    <row r="4392" spans="1:1" ht="15" customHeight="1" x14ac:dyDescent="0.25">
      <c r="A4392"/>
    </row>
    <row r="4393" spans="1:1" ht="15" customHeight="1" x14ac:dyDescent="0.25">
      <c r="A4393"/>
    </row>
    <row r="4394" spans="1:1" ht="15" customHeight="1" x14ac:dyDescent="0.25">
      <c r="A4394"/>
    </row>
    <row r="4395" spans="1:1" ht="15" customHeight="1" x14ac:dyDescent="0.25">
      <c r="A4395"/>
    </row>
    <row r="4396" spans="1:1" ht="15" customHeight="1" x14ac:dyDescent="0.25">
      <c r="A4396"/>
    </row>
    <row r="4397" spans="1:1" ht="15" customHeight="1" x14ac:dyDescent="0.25">
      <c r="A4397"/>
    </row>
    <row r="4398" spans="1:1" ht="15" customHeight="1" x14ac:dyDescent="0.25">
      <c r="A4398"/>
    </row>
    <row r="4399" spans="1:1" ht="15" customHeight="1" x14ac:dyDescent="0.25">
      <c r="A4399"/>
    </row>
    <row r="4400" spans="1:1" ht="15" customHeight="1" x14ac:dyDescent="0.25">
      <c r="A4400"/>
    </row>
    <row r="4401" spans="1:1" ht="15" customHeight="1" x14ac:dyDescent="0.25">
      <c r="A4401"/>
    </row>
    <row r="4402" spans="1:1" ht="15" customHeight="1" x14ac:dyDescent="0.25">
      <c r="A4402"/>
    </row>
    <row r="4403" spans="1:1" ht="15" customHeight="1" x14ac:dyDescent="0.25">
      <c r="A4403"/>
    </row>
    <row r="4404" spans="1:1" ht="15" customHeight="1" x14ac:dyDescent="0.25">
      <c r="A4404"/>
    </row>
    <row r="4405" spans="1:1" ht="15" customHeight="1" x14ac:dyDescent="0.25">
      <c r="A4405"/>
    </row>
    <row r="4406" spans="1:1" ht="15" customHeight="1" x14ac:dyDescent="0.25">
      <c r="A4406"/>
    </row>
    <row r="4407" spans="1:1" ht="15" customHeight="1" x14ac:dyDescent="0.25">
      <c r="A4407"/>
    </row>
    <row r="4408" spans="1:1" ht="15" customHeight="1" x14ac:dyDescent="0.25">
      <c r="A4408"/>
    </row>
    <row r="4409" spans="1:1" ht="15" customHeight="1" x14ac:dyDescent="0.25">
      <c r="A4409"/>
    </row>
    <row r="4410" spans="1:1" ht="15" customHeight="1" x14ac:dyDescent="0.25">
      <c r="A4410"/>
    </row>
    <row r="4411" spans="1:1" ht="15" customHeight="1" x14ac:dyDescent="0.25">
      <c r="A4411"/>
    </row>
    <row r="4412" spans="1:1" ht="15" customHeight="1" x14ac:dyDescent="0.25">
      <c r="A4412"/>
    </row>
    <row r="4413" spans="1:1" ht="15" customHeight="1" x14ac:dyDescent="0.25">
      <c r="A4413"/>
    </row>
    <row r="4414" spans="1:1" ht="15" customHeight="1" x14ac:dyDescent="0.25">
      <c r="A4414"/>
    </row>
    <row r="4415" spans="1:1" ht="15" customHeight="1" x14ac:dyDescent="0.25">
      <c r="A4415"/>
    </row>
    <row r="4416" spans="1:1" ht="15" customHeight="1" x14ac:dyDescent="0.25">
      <c r="A4416"/>
    </row>
    <row r="4417" spans="1:1" ht="15" customHeight="1" x14ac:dyDescent="0.25">
      <c r="A4417"/>
    </row>
    <row r="4418" spans="1:1" ht="15" customHeight="1" x14ac:dyDescent="0.25">
      <c r="A4418"/>
    </row>
    <row r="4419" spans="1:1" ht="15" customHeight="1" x14ac:dyDescent="0.25">
      <c r="A4419"/>
    </row>
    <row r="4420" spans="1:1" ht="15" customHeight="1" x14ac:dyDescent="0.25">
      <c r="A4420"/>
    </row>
    <row r="4421" spans="1:1" ht="15" customHeight="1" x14ac:dyDescent="0.25">
      <c r="A4421"/>
    </row>
    <row r="4422" spans="1:1" ht="15" customHeight="1" x14ac:dyDescent="0.25">
      <c r="A4422"/>
    </row>
    <row r="4423" spans="1:1" ht="15" customHeight="1" x14ac:dyDescent="0.25">
      <c r="A4423"/>
    </row>
    <row r="4424" spans="1:1" ht="15" customHeight="1" x14ac:dyDescent="0.25">
      <c r="A4424"/>
    </row>
    <row r="4425" spans="1:1" ht="15" customHeight="1" x14ac:dyDescent="0.25">
      <c r="A4425"/>
    </row>
    <row r="4426" spans="1:1" ht="15" customHeight="1" x14ac:dyDescent="0.25">
      <c r="A4426"/>
    </row>
    <row r="4427" spans="1:1" ht="15" customHeight="1" x14ac:dyDescent="0.25">
      <c r="A4427"/>
    </row>
    <row r="4428" spans="1:1" ht="15" customHeight="1" x14ac:dyDescent="0.25">
      <c r="A4428"/>
    </row>
    <row r="4429" spans="1:1" ht="15" customHeight="1" x14ac:dyDescent="0.25">
      <c r="A4429"/>
    </row>
    <row r="4430" spans="1:1" ht="15" customHeight="1" x14ac:dyDescent="0.25">
      <c r="A4430"/>
    </row>
    <row r="4431" spans="1:1" ht="15" customHeight="1" x14ac:dyDescent="0.25">
      <c r="A4431"/>
    </row>
    <row r="4432" spans="1:1" ht="15" customHeight="1" x14ac:dyDescent="0.25">
      <c r="A4432"/>
    </row>
    <row r="4433" spans="1:1" ht="15" customHeight="1" x14ac:dyDescent="0.25">
      <c r="A4433"/>
    </row>
    <row r="4434" spans="1:1" ht="15" customHeight="1" x14ac:dyDescent="0.25">
      <c r="A4434"/>
    </row>
    <row r="4435" spans="1:1" ht="15" customHeight="1" x14ac:dyDescent="0.25">
      <c r="A4435"/>
    </row>
    <row r="4436" spans="1:1" ht="15" customHeight="1" x14ac:dyDescent="0.25">
      <c r="A4436"/>
    </row>
    <row r="4437" spans="1:1" ht="15" customHeight="1" x14ac:dyDescent="0.25">
      <c r="A4437"/>
    </row>
    <row r="4438" spans="1:1" ht="15" customHeight="1" x14ac:dyDescent="0.25">
      <c r="A4438"/>
    </row>
    <row r="4439" spans="1:1" ht="15" customHeight="1" x14ac:dyDescent="0.25">
      <c r="A4439"/>
    </row>
    <row r="4440" spans="1:1" ht="15" customHeight="1" x14ac:dyDescent="0.25">
      <c r="A4440"/>
    </row>
    <row r="4441" spans="1:1" ht="15" customHeight="1" x14ac:dyDescent="0.25">
      <c r="A4441"/>
    </row>
    <row r="4442" spans="1:1" ht="15" customHeight="1" x14ac:dyDescent="0.25">
      <c r="A4442"/>
    </row>
    <row r="4443" spans="1:1" ht="15" customHeight="1" x14ac:dyDescent="0.25">
      <c r="A4443"/>
    </row>
    <row r="4444" spans="1:1" ht="15" customHeight="1" x14ac:dyDescent="0.25">
      <c r="A4444"/>
    </row>
    <row r="4445" spans="1:1" ht="15" customHeight="1" x14ac:dyDescent="0.25">
      <c r="A4445"/>
    </row>
    <row r="4446" spans="1:1" ht="15" customHeight="1" x14ac:dyDescent="0.25">
      <c r="A4446"/>
    </row>
    <row r="4447" spans="1:1" ht="15" customHeight="1" x14ac:dyDescent="0.25">
      <c r="A4447"/>
    </row>
    <row r="4448" spans="1:1" ht="15" customHeight="1" x14ac:dyDescent="0.25">
      <c r="A4448"/>
    </row>
    <row r="4449" spans="1:1" ht="15" customHeight="1" x14ac:dyDescent="0.25">
      <c r="A4449"/>
    </row>
    <row r="4450" spans="1:1" ht="15" customHeight="1" x14ac:dyDescent="0.25">
      <c r="A4450"/>
    </row>
    <row r="4451" spans="1:1" ht="15" customHeight="1" x14ac:dyDescent="0.25">
      <c r="A4451"/>
    </row>
    <row r="4452" spans="1:1" ht="15" customHeight="1" x14ac:dyDescent="0.25">
      <c r="A4452"/>
    </row>
    <row r="4453" spans="1:1" ht="15" customHeight="1" x14ac:dyDescent="0.25">
      <c r="A4453"/>
    </row>
    <row r="4454" spans="1:1" ht="15" customHeight="1" x14ac:dyDescent="0.25">
      <c r="A4454"/>
    </row>
    <row r="4455" spans="1:1" ht="15" customHeight="1" x14ac:dyDescent="0.25">
      <c r="A4455"/>
    </row>
    <row r="4456" spans="1:1" ht="15" customHeight="1" x14ac:dyDescent="0.25">
      <c r="A4456"/>
    </row>
    <row r="4457" spans="1:1" ht="15" customHeight="1" x14ac:dyDescent="0.25">
      <c r="A4457"/>
    </row>
    <row r="4458" spans="1:1" ht="15" customHeight="1" x14ac:dyDescent="0.25">
      <c r="A4458"/>
    </row>
    <row r="4459" spans="1:1" ht="15" customHeight="1" x14ac:dyDescent="0.25">
      <c r="A4459"/>
    </row>
    <row r="4460" spans="1:1" ht="15" customHeight="1" x14ac:dyDescent="0.25">
      <c r="A4460"/>
    </row>
    <row r="4461" spans="1:1" ht="15" customHeight="1" x14ac:dyDescent="0.25">
      <c r="A4461"/>
    </row>
    <row r="4462" spans="1:1" ht="15" customHeight="1" x14ac:dyDescent="0.25">
      <c r="A4462"/>
    </row>
    <row r="4463" spans="1:1" ht="15" customHeight="1" x14ac:dyDescent="0.25">
      <c r="A4463"/>
    </row>
    <row r="4464" spans="1:1" ht="15" customHeight="1" x14ac:dyDescent="0.25">
      <c r="A4464"/>
    </row>
    <row r="4465" spans="1:1" ht="15" customHeight="1" x14ac:dyDescent="0.25">
      <c r="A4465"/>
    </row>
    <row r="4466" spans="1:1" ht="15" customHeight="1" x14ac:dyDescent="0.25">
      <c r="A4466"/>
    </row>
    <row r="4467" spans="1:1" ht="15" customHeight="1" x14ac:dyDescent="0.25">
      <c r="A4467"/>
    </row>
    <row r="4468" spans="1:1" ht="15" customHeight="1" x14ac:dyDescent="0.25">
      <c r="A4468"/>
    </row>
    <row r="4469" spans="1:1" ht="15" customHeight="1" x14ac:dyDescent="0.25">
      <c r="A4469"/>
    </row>
    <row r="4470" spans="1:1" ht="15" customHeight="1" x14ac:dyDescent="0.25">
      <c r="A4470"/>
    </row>
    <row r="4471" spans="1:1" ht="15" customHeight="1" x14ac:dyDescent="0.25">
      <c r="A4471"/>
    </row>
    <row r="4472" spans="1:1" ht="15" customHeight="1" x14ac:dyDescent="0.25">
      <c r="A4472"/>
    </row>
    <row r="4473" spans="1:1" ht="15" customHeight="1" x14ac:dyDescent="0.25">
      <c r="A4473"/>
    </row>
    <row r="4474" spans="1:1" ht="15" customHeight="1" x14ac:dyDescent="0.25">
      <c r="A4474"/>
    </row>
    <row r="4475" spans="1:1" ht="15" customHeight="1" x14ac:dyDescent="0.25">
      <c r="A4475"/>
    </row>
    <row r="4476" spans="1:1" ht="15" customHeight="1" x14ac:dyDescent="0.25">
      <c r="A4476"/>
    </row>
    <row r="4477" spans="1:1" ht="15" customHeight="1" x14ac:dyDescent="0.25">
      <c r="A4477"/>
    </row>
    <row r="4478" spans="1:1" ht="15" customHeight="1" x14ac:dyDescent="0.25">
      <c r="A4478"/>
    </row>
    <row r="4479" spans="1:1" ht="15" customHeight="1" x14ac:dyDescent="0.25">
      <c r="A4479"/>
    </row>
    <row r="4480" spans="1:1" ht="15" customHeight="1" x14ac:dyDescent="0.25">
      <c r="A4480"/>
    </row>
    <row r="4481" spans="1:1" ht="15" customHeight="1" x14ac:dyDescent="0.25">
      <c r="A4481"/>
    </row>
    <row r="4482" spans="1:1" ht="15" customHeight="1" x14ac:dyDescent="0.25">
      <c r="A4482"/>
    </row>
    <row r="4483" spans="1:1" ht="15" customHeight="1" x14ac:dyDescent="0.25">
      <c r="A4483"/>
    </row>
    <row r="4484" spans="1:1" ht="15" customHeight="1" x14ac:dyDescent="0.25">
      <c r="A4484"/>
    </row>
    <row r="4485" spans="1:1" ht="15" customHeight="1" x14ac:dyDescent="0.25">
      <c r="A4485"/>
    </row>
    <row r="4486" spans="1:1" ht="15" customHeight="1" x14ac:dyDescent="0.25">
      <c r="A4486"/>
    </row>
    <row r="4487" spans="1:1" ht="15" customHeight="1" x14ac:dyDescent="0.25">
      <c r="A4487"/>
    </row>
    <row r="4488" spans="1:1" ht="15" customHeight="1" x14ac:dyDescent="0.25">
      <c r="A4488"/>
    </row>
    <row r="4489" spans="1:1" ht="15" customHeight="1" x14ac:dyDescent="0.25">
      <c r="A4489"/>
    </row>
    <row r="4490" spans="1:1" ht="15" customHeight="1" x14ac:dyDescent="0.25">
      <c r="A4490"/>
    </row>
    <row r="4491" spans="1:1" ht="15" customHeight="1" x14ac:dyDescent="0.25">
      <c r="A4491"/>
    </row>
    <row r="4492" spans="1:1" ht="15" customHeight="1" x14ac:dyDescent="0.25">
      <c r="A4492"/>
    </row>
    <row r="4493" spans="1:1" ht="15" customHeight="1" x14ac:dyDescent="0.25">
      <c r="A4493"/>
    </row>
    <row r="4494" spans="1:1" ht="15" customHeight="1" x14ac:dyDescent="0.25">
      <c r="A4494"/>
    </row>
    <row r="4495" spans="1:1" ht="15" customHeight="1" x14ac:dyDescent="0.25">
      <c r="A4495"/>
    </row>
    <row r="4496" spans="1:1" ht="15" customHeight="1" x14ac:dyDescent="0.25">
      <c r="A4496"/>
    </row>
    <row r="4497" spans="1:1" ht="15" customHeight="1" x14ac:dyDescent="0.25">
      <c r="A4497"/>
    </row>
    <row r="4498" spans="1:1" ht="15" customHeight="1" x14ac:dyDescent="0.25">
      <c r="A4498"/>
    </row>
    <row r="4499" spans="1:1" ht="15" customHeight="1" x14ac:dyDescent="0.25">
      <c r="A4499"/>
    </row>
    <row r="4500" spans="1:1" ht="15" customHeight="1" x14ac:dyDescent="0.25">
      <c r="A4500"/>
    </row>
    <row r="4501" spans="1:1" ht="15" customHeight="1" x14ac:dyDescent="0.25">
      <c r="A4501"/>
    </row>
    <row r="4502" spans="1:1" ht="15" customHeight="1" x14ac:dyDescent="0.25">
      <c r="A4502"/>
    </row>
    <row r="4503" spans="1:1" ht="15" customHeight="1" x14ac:dyDescent="0.25">
      <c r="A4503"/>
    </row>
    <row r="4504" spans="1:1" ht="15" customHeight="1" x14ac:dyDescent="0.25">
      <c r="A4504"/>
    </row>
    <row r="4505" spans="1:1" ht="15" customHeight="1" x14ac:dyDescent="0.25">
      <c r="A4505"/>
    </row>
    <row r="4506" spans="1:1" ht="15" customHeight="1" x14ac:dyDescent="0.25">
      <c r="A4506"/>
    </row>
    <row r="4507" spans="1:1" ht="15" customHeight="1" x14ac:dyDescent="0.25">
      <c r="A4507"/>
    </row>
    <row r="4508" spans="1:1" ht="15" customHeight="1" x14ac:dyDescent="0.25">
      <c r="A4508"/>
    </row>
    <row r="4509" spans="1:1" ht="15" customHeight="1" x14ac:dyDescent="0.25">
      <c r="A4509"/>
    </row>
    <row r="4510" spans="1:1" ht="15" customHeight="1" x14ac:dyDescent="0.25">
      <c r="A4510"/>
    </row>
    <row r="4511" spans="1:1" ht="15" customHeight="1" x14ac:dyDescent="0.25">
      <c r="A4511"/>
    </row>
    <row r="4512" spans="1:1" ht="15" customHeight="1" x14ac:dyDescent="0.25">
      <c r="A4512"/>
    </row>
    <row r="4513" spans="1:1" ht="15" customHeight="1" x14ac:dyDescent="0.25">
      <c r="A4513"/>
    </row>
    <row r="4514" spans="1:1" ht="15" customHeight="1" x14ac:dyDescent="0.25">
      <c r="A4514"/>
    </row>
    <row r="4515" spans="1:1" ht="15" customHeight="1" x14ac:dyDescent="0.25">
      <c r="A4515"/>
    </row>
    <row r="4516" spans="1:1" ht="15" customHeight="1" x14ac:dyDescent="0.25">
      <c r="A4516"/>
    </row>
    <row r="4517" spans="1:1" ht="15" customHeight="1" x14ac:dyDescent="0.25">
      <c r="A4517"/>
    </row>
    <row r="4518" spans="1:1" ht="15" customHeight="1" x14ac:dyDescent="0.25">
      <c r="A4518"/>
    </row>
    <row r="4519" spans="1:1" ht="15" customHeight="1" x14ac:dyDescent="0.25">
      <c r="A4519"/>
    </row>
    <row r="4520" spans="1:1" ht="15" customHeight="1" x14ac:dyDescent="0.25">
      <c r="A4520"/>
    </row>
    <row r="4521" spans="1:1" ht="15" customHeight="1" x14ac:dyDescent="0.25">
      <c r="A4521"/>
    </row>
    <row r="4522" spans="1:1" ht="15" customHeight="1" x14ac:dyDescent="0.25">
      <c r="A4522"/>
    </row>
    <row r="4523" spans="1:1" ht="15" customHeight="1" x14ac:dyDescent="0.25">
      <c r="A4523"/>
    </row>
    <row r="4524" spans="1:1" ht="15" customHeight="1" x14ac:dyDescent="0.25">
      <c r="A4524"/>
    </row>
    <row r="4525" spans="1:1" ht="15" customHeight="1" x14ac:dyDescent="0.25">
      <c r="A4525"/>
    </row>
    <row r="4526" spans="1:1" ht="15" customHeight="1" x14ac:dyDescent="0.25">
      <c r="A4526"/>
    </row>
    <row r="4527" spans="1:1" ht="15" customHeight="1" x14ac:dyDescent="0.25">
      <c r="A4527"/>
    </row>
    <row r="4528" spans="1:1" ht="15" customHeight="1" x14ac:dyDescent="0.25">
      <c r="A4528"/>
    </row>
    <row r="4529" spans="1:1" ht="15" customHeight="1" x14ac:dyDescent="0.25">
      <c r="A4529"/>
    </row>
    <row r="4530" spans="1:1" ht="15" customHeight="1" x14ac:dyDescent="0.25">
      <c r="A4530"/>
    </row>
    <row r="4531" spans="1:1" ht="15" customHeight="1" x14ac:dyDescent="0.25">
      <c r="A4531"/>
    </row>
    <row r="4532" spans="1:1" ht="15" customHeight="1" x14ac:dyDescent="0.25">
      <c r="A4532"/>
    </row>
    <row r="4533" spans="1:1" ht="15" customHeight="1" x14ac:dyDescent="0.25">
      <c r="A4533"/>
    </row>
    <row r="4534" spans="1:1" ht="15" customHeight="1" x14ac:dyDescent="0.25">
      <c r="A4534"/>
    </row>
    <row r="4535" spans="1:1" ht="15" customHeight="1" x14ac:dyDescent="0.25">
      <c r="A4535"/>
    </row>
    <row r="4536" spans="1:1" ht="15" customHeight="1" x14ac:dyDescent="0.25">
      <c r="A4536"/>
    </row>
    <row r="4537" spans="1:1" ht="15" customHeight="1" x14ac:dyDescent="0.25">
      <c r="A4537"/>
    </row>
    <row r="4538" spans="1:1" ht="15" customHeight="1" x14ac:dyDescent="0.25">
      <c r="A4538"/>
    </row>
    <row r="4539" spans="1:1" ht="15" customHeight="1" x14ac:dyDescent="0.25">
      <c r="A4539"/>
    </row>
    <row r="4540" spans="1:1" ht="15" customHeight="1" x14ac:dyDescent="0.25">
      <c r="A4540"/>
    </row>
    <row r="4541" spans="1:1" ht="15" customHeight="1" x14ac:dyDescent="0.25">
      <c r="A4541"/>
    </row>
    <row r="4542" spans="1:1" ht="15" customHeight="1" x14ac:dyDescent="0.25">
      <c r="A4542"/>
    </row>
    <row r="4543" spans="1:1" ht="15" customHeight="1" x14ac:dyDescent="0.25">
      <c r="A4543"/>
    </row>
    <row r="4544" spans="1:1" ht="15" customHeight="1" x14ac:dyDescent="0.25">
      <c r="A4544"/>
    </row>
    <row r="4545" spans="1:1" ht="15" customHeight="1" x14ac:dyDescent="0.25">
      <c r="A4545"/>
    </row>
    <row r="4546" spans="1:1" ht="15" customHeight="1" x14ac:dyDescent="0.25">
      <c r="A4546"/>
    </row>
    <row r="4547" spans="1:1" ht="15" customHeight="1" x14ac:dyDescent="0.25">
      <c r="A4547"/>
    </row>
    <row r="4548" spans="1:1" ht="15" customHeight="1" x14ac:dyDescent="0.25">
      <c r="A4548"/>
    </row>
    <row r="4549" spans="1:1" ht="15" customHeight="1" x14ac:dyDescent="0.25">
      <c r="A4549"/>
    </row>
    <row r="4550" spans="1:1" ht="15" customHeight="1" x14ac:dyDescent="0.25">
      <c r="A4550"/>
    </row>
    <row r="4551" spans="1:1" ht="15" customHeight="1" x14ac:dyDescent="0.25">
      <c r="A4551"/>
    </row>
    <row r="4552" spans="1:1" ht="15" customHeight="1" x14ac:dyDescent="0.25">
      <c r="A4552"/>
    </row>
    <row r="4553" spans="1:1" ht="15" customHeight="1" x14ac:dyDescent="0.25">
      <c r="A4553"/>
    </row>
    <row r="4554" spans="1:1" ht="15" customHeight="1" x14ac:dyDescent="0.25">
      <c r="A4554"/>
    </row>
    <row r="4555" spans="1:1" ht="15" customHeight="1" x14ac:dyDescent="0.25">
      <c r="A4555"/>
    </row>
    <row r="4556" spans="1:1" ht="15" customHeight="1" x14ac:dyDescent="0.25">
      <c r="A4556"/>
    </row>
    <row r="4557" spans="1:1" ht="15" customHeight="1" x14ac:dyDescent="0.25">
      <c r="A4557"/>
    </row>
    <row r="4558" spans="1:1" ht="15" customHeight="1" x14ac:dyDescent="0.25">
      <c r="A4558"/>
    </row>
    <row r="4559" spans="1:1" ht="15" customHeight="1" x14ac:dyDescent="0.25">
      <c r="A4559"/>
    </row>
    <row r="4560" spans="1:1" ht="15" customHeight="1" x14ac:dyDescent="0.25">
      <c r="A4560"/>
    </row>
    <row r="4561" spans="1:1" ht="15" customHeight="1" x14ac:dyDescent="0.25">
      <c r="A4561"/>
    </row>
    <row r="4562" spans="1:1" ht="15" customHeight="1" x14ac:dyDescent="0.25">
      <c r="A4562"/>
    </row>
    <row r="4563" spans="1:1" ht="15" customHeight="1" x14ac:dyDescent="0.25">
      <c r="A4563"/>
    </row>
    <row r="4564" spans="1:1" ht="15" customHeight="1" x14ac:dyDescent="0.25">
      <c r="A4564"/>
    </row>
    <row r="4565" spans="1:1" ht="15" customHeight="1" x14ac:dyDescent="0.25">
      <c r="A4565"/>
    </row>
    <row r="4566" spans="1:1" ht="15" customHeight="1" x14ac:dyDescent="0.25">
      <c r="A4566"/>
    </row>
    <row r="4567" spans="1:1" ht="15" customHeight="1" x14ac:dyDescent="0.25">
      <c r="A4567"/>
    </row>
    <row r="4568" spans="1:1" ht="15" customHeight="1" x14ac:dyDescent="0.25">
      <c r="A4568"/>
    </row>
    <row r="4569" spans="1:1" ht="15" customHeight="1" x14ac:dyDescent="0.25">
      <c r="A4569"/>
    </row>
    <row r="4570" spans="1:1" ht="15" customHeight="1" x14ac:dyDescent="0.25">
      <c r="A4570"/>
    </row>
    <row r="4571" spans="1:1" ht="15" customHeight="1" x14ac:dyDescent="0.25">
      <c r="A4571"/>
    </row>
    <row r="4572" spans="1:1" ht="15" customHeight="1" x14ac:dyDescent="0.25">
      <c r="A4572"/>
    </row>
    <row r="4573" spans="1:1" ht="15" customHeight="1" x14ac:dyDescent="0.25">
      <c r="A4573"/>
    </row>
    <row r="4574" spans="1:1" ht="15" customHeight="1" x14ac:dyDescent="0.25">
      <c r="A4574"/>
    </row>
    <row r="4575" spans="1:1" ht="15" customHeight="1" x14ac:dyDescent="0.25">
      <c r="A4575"/>
    </row>
    <row r="4576" spans="1:1" ht="15" customHeight="1" x14ac:dyDescent="0.25">
      <c r="A4576"/>
    </row>
    <row r="4577" spans="1:1" ht="15" customHeight="1" x14ac:dyDescent="0.25">
      <c r="A4577"/>
    </row>
    <row r="4578" spans="1:1" ht="15" customHeight="1" x14ac:dyDescent="0.25">
      <c r="A4578"/>
    </row>
    <row r="4579" spans="1:1" ht="15" customHeight="1" x14ac:dyDescent="0.25">
      <c r="A4579"/>
    </row>
    <row r="4580" spans="1:1" ht="15" customHeight="1" x14ac:dyDescent="0.25">
      <c r="A4580"/>
    </row>
    <row r="4581" spans="1:1" ht="15" customHeight="1" x14ac:dyDescent="0.25">
      <c r="A4581"/>
    </row>
    <row r="4582" spans="1:1" ht="15" customHeight="1" x14ac:dyDescent="0.25">
      <c r="A4582"/>
    </row>
    <row r="4583" spans="1:1" ht="15" customHeight="1" x14ac:dyDescent="0.25">
      <c r="A4583"/>
    </row>
    <row r="4584" spans="1:1" ht="15" customHeight="1" x14ac:dyDescent="0.25">
      <c r="A4584"/>
    </row>
    <row r="4585" spans="1:1" ht="15" customHeight="1" x14ac:dyDescent="0.25">
      <c r="A4585"/>
    </row>
    <row r="4586" spans="1:1" ht="15" customHeight="1" x14ac:dyDescent="0.25">
      <c r="A4586"/>
    </row>
    <row r="4587" spans="1:1" ht="15" customHeight="1" x14ac:dyDescent="0.25">
      <c r="A4587"/>
    </row>
    <row r="4588" spans="1:1" ht="15" customHeight="1" x14ac:dyDescent="0.25">
      <c r="A4588"/>
    </row>
    <row r="4589" spans="1:1" ht="15" customHeight="1" x14ac:dyDescent="0.25">
      <c r="A4589"/>
    </row>
    <row r="4590" spans="1:1" ht="15" customHeight="1" x14ac:dyDescent="0.25">
      <c r="A4590"/>
    </row>
    <row r="4591" spans="1:1" ht="15" customHeight="1" x14ac:dyDescent="0.25">
      <c r="A4591"/>
    </row>
    <row r="4592" spans="1:1" ht="15" customHeight="1" x14ac:dyDescent="0.25">
      <c r="A4592"/>
    </row>
    <row r="4593" spans="1:1" ht="15" customHeight="1" x14ac:dyDescent="0.25">
      <c r="A4593"/>
    </row>
    <row r="4594" spans="1:1" ht="15" customHeight="1" x14ac:dyDescent="0.25">
      <c r="A4594"/>
    </row>
    <row r="4595" spans="1:1" ht="15" customHeight="1" x14ac:dyDescent="0.25">
      <c r="A4595"/>
    </row>
    <row r="4596" spans="1:1" ht="15" customHeight="1" x14ac:dyDescent="0.25">
      <c r="A4596"/>
    </row>
    <row r="4597" spans="1:1" ht="15" customHeight="1" x14ac:dyDescent="0.25">
      <c r="A4597"/>
    </row>
    <row r="4598" spans="1:1" ht="15" customHeight="1" x14ac:dyDescent="0.25">
      <c r="A4598"/>
    </row>
    <row r="4599" spans="1:1" ht="15" customHeight="1" x14ac:dyDescent="0.25">
      <c r="A4599"/>
    </row>
    <row r="4600" spans="1:1" ht="15" customHeight="1" x14ac:dyDescent="0.25">
      <c r="A4600"/>
    </row>
    <row r="4601" spans="1:1" ht="15" customHeight="1" x14ac:dyDescent="0.25">
      <c r="A4601"/>
    </row>
    <row r="4602" spans="1:1" ht="15" customHeight="1" x14ac:dyDescent="0.25">
      <c r="A4602"/>
    </row>
    <row r="4603" spans="1:1" ht="15" customHeight="1" x14ac:dyDescent="0.25">
      <c r="A4603"/>
    </row>
    <row r="4604" spans="1:1" ht="15" customHeight="1" x14ac:dyDescent="0.25">
      <c r="A4604"/>
    </row>
    <row r="4605" spans="1:1" ht="15" customHeight="1" x14ac:dyDescent="0.25">
      <c r="A4605"/>
    </row>
    <row r="4606" spans="1:1" ht="15" customHeight="1" x14ac:dyDescent="0.25">
      <c r="A4606"/>
    </row>
    <row r="4607" spans="1:1" ht="15" customHeight="1" x14ac:dyDescent="0.25">
      <c r="A4607"/>
    </row>
    <row r="4608" spans="1:1" ht="15" customHeight="1" x14ac:dyDescent="0.25">
      <c r="A4608"/>
    </row>
    <row r="4609" spans="1:1" ht="15" customHeight="1" x14ac:dyDescent="0.25">
      <c r="A4609"/>
    </row>
    <row r="4610" spans="1:1" ht="15" customHeight="1" x14ac:dyDescent="0.25">
      <c r="A4610"/>
    </row>
    <row r="4611" spans="1:1" ht="15" customHeight="1" x14ac:dyDescent="0.25">
      <c r="A4611"/>
    </row>
    <row r="4612" spans="1:1" ht="15" customHeight="1" x14ac:dyDescent="0.25">
      <c r="A4612"/>
    </row>
    <row r="4613" spans="1:1" ht="15" customHeight="1" x14ac:dyDescent="0.25">
      <c r="A4613"/>
    </row>
    <row r="4614" spans="1:1" ht="15" customHeight="1" x14ac:dyDescent="0.25">
      <c r="A4614"/>
    </row>
    <row r="4615" spans="1:1" ht="15" customHeight="1" x14ac:dyDescent="0.25">
      <c r="A4615"/>
    </row>
    <row r="4616" spans="1:1" ht="15" customHeight="1" x14ac:dyDescent="0.25">
      <c r="A4616"/>
    </row>
    <row r="4617" spans="1:1" ht="15" customHeight="1" x14ac:dyDescent="0.25">
      <c r="A4617"/>
    </row>
    <row r="4618" spans="1:1" ht="15" customHeight="1" x14ac:dyDescent="0.25">
      <c r="A4618"/>
    </row>
    <row r="4619" spans="1:1" ht="15" customHeight="1" x14ac:dyDescent="0.25">
      <c r="A4619"/>
    </row>
    <row r="4620" spans="1:1" ht="15" customHeight="1" x14ac:dyDescent="0.25">
      <c r="A4620"/>
    </row>
    <row r="4621" spans="1:1" ht="15" customHeight="1" x14ac:dyDescent="0.25">
      <c r="A4621"/>
    </row>
    <row r="4622" spans="1:1" ht="15" customHeight="1" x14ac:dyDescent="0.25">
      <c r="A4622"/>
    </row>
    <row r="4623" spans="1:1" ht="15" customHeight="1" x14ac:dyDescent="0.25">
      <c r="A4623"/>
    </row>
    <row r="4624" spans="1:1" ht="15" customHeight="1" x14ac:dyDescent="0.25">
      <c r="A4624"/>
    </row>
    <row r="4625" spans="1:1" ht="15" customHeight="1" x14ac:dyDescent="0.25">
      <c r="A4625"/>
    </row>
    <row r="4626" spans="1:1" ht="15" customHeight="1" x14ac:dyDescent="0.25">
      <c r="A4626"/>
    </row>
    <row r="4627" spans="1:1" ht="15" customHeight="1" x14ac:dyDescent="0.25">
      <c r="A4627"/>
    </row>
    <row r="4628" spans="1:1" ht="15" customHeight="1" x14ac:dyDescent="0.25">
      <c r="A4628"/>
    </row>
    <row r="4629" spans="1:1" ht="15" customHeight="1" x14ac:dyDescent="0.25">
      <c r="A4629"/>
    </row>
    <row r="4630" spans="1:1" ht="15" customHeight="1" x14ac:dyDescent="0.25">
      <c r="A4630"/>
    </row>
    <row r="4631" spans="1:1" ht="15" customHeight="1" x14ac:dyDescent="0.25">
      <c r="A4631"/>
    </row>
    <row r="4632" spans="1:1" ht="15" customHeight="1" x14ac:dyDescent="0.25">
      <c r="A4632"/>
    </row>
    <row r="4633" spans="1:1" ht="15" customHeight="1" x14ac:dyDescent="0.25">
      <c r="A4633"/>
    </row>
    <row r="4634" spans="1:1" ht="15" customHeight="1" x14ac:dyDescent="0.25">
      <c r="A4634"/>
    </row>
    <row r="4635" spans="1:1" ht="15" customHeight="1" x14ac:dyDescent="0.25">
      <c r="A4635"/>
    </row>
    <row r="4636" spans="1:1" ht="15" customHeight="1" x14ac:dyDescent="0.25">
      <c r="A4636"/>
    </row>
    <row r="4637" spans="1:1" ht="15" customHeight="1" x14ac:dyDescent="0.25">
      <c r="A4637"/>
    </row>
    <row r="4638" spans="1:1" ht="15" customHeight="1" x14ac:dyDescent="0.25">
      <c r="A4638"/>
    </row>
    <row r="4639" spans="1:1" ht="15" customHeight="1" x14ac:dyDescent="0.25">
      <c r="A4639"/>
    </row>
    <row r="4640" spans="1:1" ht="15" customHeight="1" x14ac:dyDescent="0.25">
      <c r="A4640"/>
    </row>
    <row r="4641" spans="1:1" ht="15" customHeight="1" x14ac:dyDescent="0.25">
      <c r="A4641"/>
    </row>
    <row r="4642" spans="1:1" ht="15" customHeight="1" x14ac:dyDescent="0.25">
      <c r="A4642"/>
    </row>
    <row r="4643" spans="1:1" ht="15" customHeight="1" x14ac:dyDescent="0.25">
      <c r="A4643"/>
    </row>
    <row r="4644" spans="1:1" ht="15" customHeight="1" x14ac:dyDescent="0.25">
      <c r="A4644"/>
    </row>
    <row r="4645" spans="1:1" ht="15" customHeight="1" x14ac:dyDescent="0.25">
      <c r="A4645"/>
    </row>
    <row r="4646" spans="1:1" ht="15" customHeight="1" x14ac:dyDescent="0.25">
      <c r="A4646"/>
    </row>
    <row r="4647" spans="1:1" ht="15" customHeight="1" x14ac:dyDescent="0.25">
      <c r="A4647"/>
    </row>
    <row r="4648" spans="1:1" ht="15" customHeight="1" x14ac:dyDescent="0.25">
      <c r="A4648"/>
    </row>
    <row r="4649" spans="1:1" ht="15" customHeight="1" x14ac:dyDescent="0.25">
      <c r="A4649"/>
    </row>
    <row r="4650" spans="1:1" ht="15" customHeight="1" x14ac:dyDescent="0.25">
      <c r="A4650"/>
    </row>
    <row r="4651" spans="1:1" ht="15" customHeight="1" x14ac:dyDescent="0.25">
      <c r="A4651"/>
    </row>
    <row r="4652" spans="1:1" ht="15" customHeight="1" x14ac:dyDescent="0.25">
      <c r="A4652"/>
    </row>
    <row r="4653" spans="1:1" ht="15" customHeight="1" x14ac:dyDescent="0.25">
      <c r="A4653"/>
    </row>
    <row r="4654" spans="1:1" ht="15" customHeight="1" x14ac:dyDescent="0.25">
      <c r="A4654"/>
    </row>
    <row r="4655" spans="1:1" ht="15" customHeight="1" x14ac:dyDescent="0.25">
      <c r="A4655"/>
    </row>
    <row r="4656" spans="1:1" ht="15" customHeight="1" x14ac:dyDescent="0.25">
      <c r="A4656"/>
    </row>
    <row r="4657" spans="1:1" ht="15" customHeight="1" x14ac:dyDescent="0.25">
      <c r="A4657"/>
    </row>
    <row r="4658" spans="1:1" ht="15" customHeight="1" x14ac:dyDescent="0.25">
      <c r="A4658"/>
    </row>
    <row r="4659" spans="1:1" ht="15" customHeight="1" x14ac:dyDescent="0.25">
      <c r="A4659"/>
    </row>
    <row r="4660" spans="1:1" ht="15" customHeight="1" x14ac:dyDescent="0.25">
      <c r="A4660"/>
    </row>
    <row r="4661" spans="1:1" ht="15" customHeight="1" x14ac:dyDescent="0.25">
      <c r="A4661"/>
    </row>
    <row r="4662" spans="1:1" ht="15" customHeight="1" x14ac:dyDescent="0.25">
      <c r="A4662"/>
    </row>
    <row r="4663" spans="1:1" ht="15" customHeight="1" x14ac:dyDescent="0.25">
      <c r="A4663"/>
    </row>
    <row r="4664" spans="1:1" ht="15" customHeight="1" x14ac:dyDescent="0.25">
      <c r="A4664"/>
    </row>
    <row r="4665" spans="1:1" ht="15" customHeight="1" x14ac:dyDescent="0.25">
      <c r="A4665"/>
    </row>
    <row r="4666" spans="1:1" ht="15" customHeight="1" x14ac:dyDescent="0.25">
      <c r="A4666"/>
    </row>
    <row r="4667" spans="1:1" ht="15" customHeight="1" x14ac:dyDescent="0.25">
      <c r="A4667"/>
    </row>
    <row r="4668" spans="1:1" ht="15" customHeight="1" x14ac:dyDescent="0.25">
      <c r="A4668"/>
    </row>
    <row r="4669" spans="1:1" ht="15" customHeight="1" x14ac:dyDescent="0.25">
      <c r="A4669"/>
    </row>
    <row r="4670" spans="1:1" ht="15" customHeight="1" x14ac:dyDescent="0.25">
      <c r="A4670"/>
    </row>
    <row r="4671" spans="1:1" ht="15" customHeight="1" x14ac:dyDescent="0.25">
      <c r="A4671"/>
    </row>
    <row r="4672" spans="1:1" ht="15" customHeight="1" x14ac:dyDescent="0.25">
      <c r="A4672"/>
    </row>
    <row r="4673" spans="1:1" ht="15" customHeight="1" x14ac:dyDescent="0.25">
      <c r="A4673"/>
    </row>
    <row r="4674" spans="1:1" ht="15" customHeight="1" x14ac:dyDescent="0.25">
      <c r="A4674"/>
    </row>
    <row r="4675" spans="1:1" ht="15" customHeight="1" x14ac:dyDescent="0.25">
      <c r="A4675"/>
    </row>
    <row r="4676" spans="1:1" ht="15" customHeight="1" x14ac:dyDescent="0.25">
      <c r="A4676"/>
    </row>
    <row r="4677" spans="1:1" ht="15" customHeight="1" x14ac:dyDescent="0.25">
      <c r="A4677"/>
    </row>
    <row r="4678" spans="1:1" ht="15" customHeight="1" x14ac:dyDescent="0.25">
      <c r="A4678"/>
    </row>
    <row r="4679" spans="1:1" ht="15" customHeight="1" x14ac:dyDescent="0.25">
      <c r="A4679"/>
    </row>
    <row r="4680" spans="1:1" ht="15" customHeight="1" x14ac:dyDescent="0.25">
      <c r="A4680"/>
    </row>
    <row r="4681" spans="1:1" ht="15" customHeight="1" x14ac:dyDescent="0.25">
      <c r="A4681"/>
    </row>
    <row r="4682" spans="1:1" ht="15" customHeight="1" x14ac:dyDescent="0.25">
      <c r="A4682"/>
    </row>
    <row r="4683" spans="1:1" ht="15" customHeight="1" x14ac:dyDescent="0.25">
      <c r="A4683"/>
    </row>
    <row r="4684" spans="1:1" ht="15" customHeight="1" x14ac:dyDescent="0.25">
      <c r="A4684"/>
    </row>
    <row r="4685" spans="1:1" ht="15" customHeight="1" x14ac:dyDescent="0.25">
      <c r="A4685"/>
    </row>
    <row r="4686" spans="1:1" ht="15" customHeight="1" x14ac:dyDescent="0.25">
      <c r="A4686"/>
    </row>
    <row r="4687" spans="1:1" ht="15" customHeight="1" x14ac:dyDescent="0.25">
      <c r="A4687"/>
    </row>
    <row r="4688" spans="1:1" ht="15" customHeight="1" x14ac:dyDescent="0.25">
      <c r="A4688"/>
    </row>
    <row r="4689" spans="1:1" ht="15" customHeight="1" x14ac:dyDescent="0.25">
      <c r="A4689"/>
    </row>
    <row r="4690" spans="1:1" ht="15" customHeight="1" x14ac:dyDescent="0.25">
      <c r="A4690"/>
    </row>
    <row r="4691" spans="1:1" ht="15" customHeight="1" x14ac:dyDescent="0.25">
      <c r="A4691"/>
    </row>
    <row r="4692" spans="1:1" ht="15" customHeight="1" x14ac:dyDescent="0.25">
      <c r="A4692"/>
    </row>
    <row r="4693" spans="1:1" ht="15" customHeight="1" x14ac:dyDescent="0.25">
      <c r="A4693"/>
    </row>
    <row r="4694" spans="1:1" ht="15" customHeight="1" x14ac:dyDescent="0.25">
      <c r="A4694"/>
    </row>
    <row r="4695" spans="1:1" ht="15" customHeight="1" x14ac:dyDescent="0.25">
      <c r="A4695"/>
    </row>
    <row r="4696" spans="1:1" ht="15" customHeight="1" x14ac:dyDescent="0.25">
      <c r="A4696"/>
    </row>
    <row r="4697" spans="1:1" ht="15" customHeight="1" x14ac:dyDescent="0.25">
      <c r="A4697"/>
    </row>
    <row r="4698" spans="1:1" ht="15" customHeight="1" x14ac:dyDescent="0.25">
      <c r="A4698"/>
    </row>
    <row r="4699" spans="1:1" ht="15" customHeight="1" x14ac:dyDescent="0.25">
      <c r="A4699"/>
    </row>
    <row r="4700" spans="1:1" ht="15" customHeight="1" x14ac:dyDescent="0.25">
      <c r="A4700"/>
    </row>
    <row r="4701" spans="1:1" ht="15" customHeight="1" x14ac:dyDescent="0.25">
      <c r="A4701"/>
    </row>
    <row r="4702" spans="1:1" ht="15" customHeight="1" x14ac:dyDescent="0.25">
      <c r="A4702"/>
    </row>
    <row r="4703" spans="1:1" ht="15" customHeight="1" x14ac:dyDescent="0.25">
      <c r="A4703"/>
    </row>
    <row r="4704" spans="1:1" ht="15" customHeight="1" x14ac:dyDescent="0.25">
      <c r="A4704"/>
    </row>
    <row r="4705" spans="1:1" ht="15" customHeight="1" x14ac:dyDescent="0.25">
      <c r="A4705"/>
    </row>
    <row r="4706" spans="1:1" ht="15" customHeight="1" x14ac:dyDescent="0.25">
      <c r="A4706"/>
    </row>
    <row r="4707" spans="1:1" ht="15" customHeight="1" x14ac:dyDescent="0.25">
      <c r="A4707"/>
    </row>
    <row r="4708" spans="1:1" ht="15" customHeight="1" x14ac:dyDescent="0.25">
      <c r="A4708"/>
    </row>
    <row r="4709" spans="1:1" ht="15" customHeight="1" x14ac:dyDescent="0.25">
      <c r="A4709"/>
    </row>
    <row r="4710" spans="1:1" ht="15" customHeight="1" x14ac:dyDescent="0.25">
      <c r="A4710"/>
    </row>
    <row r="4711" spans="1:1" ht="15" customHeight="1" x14ac:dyDescent="0.25">
      <c r="A4711"/>
    </row>
    <row r="4712" spans="1:1" ht="15" customHeight="1" x14ac:dyDescent="0.25">
      <c r="A4712"/>
    </row>
    <row r="4713" spans="1:1" ht="15" customHeight="1" x14ac:dyDescent="0.25">
      <c r="A4713"/>
    </row>
    <row r="4714" spans="1:1" ht="15" customHeight="1" x14ac:dyDescent="0.25">
      <c r="A4714"/>
    </row>
    <row r="4715" spans="1:1" ht="15" customHeight="1" x14ac:dyDescent="0.25">
      <c r="A4715"/>
    </row>
    <row r="4716" spans="1:1" ht="15" customHeight="1" x14ac:dyDescent="0.25">
      <c r="A4716"/>
    </row>
    <row r="4717" spans="1:1" ht="15" customHeight="1" x14ac:dyDescent="0.25">
      <c r="A4717"/>
    </row>
    <row r="4718" spans="1:1" ht="15" customHeight="1" x14ac:dyDescent="0.25">
      <c r="A4718"/>
    </row>
    <row r="4719" spans="1:1" ht="15" customHeight="1" x14ac:dyDescent="0.25">
      <c r="A4719"/>
    </row>
    <row r="4720" spans="1:1" ht="15" customHeight="1" x14ac:dyDescent="0.25">
      <c r="A4720"/>
    </row>
    <row r="4721" spans="1:1" ht="15" customHeight="1" x14ac:dyDescent="0.25">
      <c r="A4721"/>
    </row>
    <row r="4722" spans="1:1" ht="15" customHeight="1" x14ac:dyDescent="0.25">
      <c r="A4722"/>
    </row>
    <row r="4723" spans="1:1" ht="15" customHeight="1" x14ac:dyDescent="0.25">
      <c r="A4723"/>
    </row>
    <row r="4724" spans="1:1" ht="15" customHeight="1" x14ac:dyDescent="0.25">
      <c r="A4724"/>
    </row>
    <row r="4725" spans="1:1" ht="15" customHeight="1" x14ac:dyDescent="0.25">
      <c r="A4725"/>
    </row>
    <row r="4726" spans="1:1" ht="15" customHeight="1" x14ac:dyDescent="0.25">
      <c r="A4726"/>
    </row>
    <row r="4727" spans="1:1" ht="15" customHeight="1" x14ac:dyDescent="0.25">
      <c r="A4727"/>
    </row>
    <row r="4728" spans="1:1" ht="15" customHeight="1" x14ac:dyDescent="0.25">
      <c r="A4728"/>
    </row>
    <row r="4729" spans="1:1" ht="15" customHeight="1" x14ac:dyDescent="0.25">
      <c r="A4729"/>
    </row>
    <row r="4730" spans="1:1" ht="15" customHeight="1" x14ac:dyDescent="0.25">
      <c r="A4730"/>
    </row>
    <row r="4731" spans="1:1" ht="15" customHeight="1" x14ac:dyDescent="0.25">
      <c r="A4731"/>
    </row>
    <row r="4732" spans="1:1" ht="15" customHeight="1" x14ac:dyDescent="0.25">
      <c r="A4732"/>
    </row>
    <row r="4733" spans="1:1" ht="15" customHeight="1" x14ac:dyDescent="0.25">
      <c r="A4733"/>
    </row>
    <row r="4734" spans="1:1" ht="15" customHeight="1" x14ac:dyDescent="0.25">
      <c r="A4734"/>
    </row>
    <row r="4735" spans="1:1" ht="15" customHeight="1" x14ac:dyDescent="0.25">
      <c r="A4735"/>
    </row>
    <row r="4736" spans="1:1" ht="15" customHeight="1" x14ac:dyDescent="0.25">
      <c r="A4736"/>
    </row>
    <row r="4737" spans="1:1" ht="15" customHeight="1" x14ac:dyDescent="0.25">
      <c r="A4737"/>
    </row>
    <row r="4738" spans="1:1" ht="15" customHeight="1" x14ac:dyDescent="0.25">
      <c r="A4738"/>
    </row>
    <row r="4739" spans="1:1" ht="15" customHeight="1" x14ac:dyDescent="0.25">
      <c r="A4739"/>
    </row>
    <row r="4740" spans="1:1" ht="15" customHeight="1" x14ac:dyDescent="0.25">
      <c r="A4740"/>
    </row>
    <row r="4741" spans="1:1" ht="15" customHeight="1" x14ac:dyDescent="0.25">
      <c r="A4741"/>
    </row>
    <row r="4742" spans="1:1" ht="15" customHeight="1" x14ac:dyDescent="0.25">
      <c r="A4742"/>
    </row>
    <row r="4743" spans="1:1" ht="15" customHeight="1" x14ac:dyDescent="0.25">
      <c r="A4743"/>
    </row>
    <row r="4744" spans="1:1" ht="15" customHeight="1" x14ac:dyDescent="0.25">
      <c r="A4744"/>
    </row>
    <row r="4745" spans="1:1" ht="15" customHeight="1" x14ac:dyDescent="0.25">
      <c r="A4745"/>
    </row>
    <row r="4746" spans="1:1" ht="15" customHeight="1" x14ac:dyDescent="0.25">
      <c r="A4746"/>
    </row>
    <row r="4747" spans="1:1" ht="15" customHeight="1" x14ac:dyDescent="0.25">
      <c r="A4747"/>
    </row>
    <row r="4748" spans="1:1" ht="15" customHeight="1" x14ac:dyDescent="0.25">
      <c r="A4748"/>
    </row>
    <row r="4749" spans="1:1" ht="15" customHeight="1" x14ac:dyDescent="0.25">
      <c r="A4749"/>
    </row>
    <row r="4750" spans="1:1" ht="15" customHeight="1" x14ac:dyDescent="0.25">
      <c r="A4750"/>
    </row>
    <row r="4751" spans="1:1" ht="15" customHeight="1" x14ac:dyDescent="0.25">
      <c r="A4751"/>
    </row>
    <row r="4752" spans="1:1" ht="15" customHeight="1" x14ac:dyDescent="0.25">
      <c r="A4752"/>
    </row>
    <row r="4753" spans="1:1" ht="15" customHeight="1" x14ac:dyDescent="0.25">
      <c r="A4753"/>
    </row>
    <row r="4754" spans="1:1" ht="15" customHeight="1" x14ac:dyDescent="0.25">
      <c r="A4754"/>
    </row>
    <row r="4755" spans="1:1" ht="15" customHeight="1" x14ac:dyDescent="0.25">
      <c r="A4755"/>
    </row>
    <row r="4756" spans="1:1" ht="15" customHeight="1" x14ac:dyDescent="0.25">
      <c r="A4756"/>
    </row>
    <row r="4757" spans="1:1" ht="15" customHeight="1" x14ac:dyDescent="0.25">
      <c r="A4757"/>
    </row>
    <row r="4758" spans="1:1" ht="15" customHeight="1" x14ac:dyDescent="0.25">
      <c r="A4758"/>
    </row>
    <row r="4759" spans="1:1" ht="15" customHeight="1" x14ac:dyDescent="0.25">
      <c r="A4759"/>
    </row>
    <row r="4760" spans="1:1" ht="15" customHeight="1" x14ac:dyDescent="0.25">
      <c r="A4760"/>
    </row>
    <row r="4761" spans="1:1" ht="15" customHeight="1" x14ac:dyDescent="0.25">
      <c r="A4761"/>
    </row>
    <row r="4762" spans="1:1" ht="15" customHeight="1" x14ac:dyDescent="0.25">
      <c r="A4762"/>
    </row>
    <row r="4763" spans="1:1" ht="15" customHeight="1" x14ac:dyDescent="0.25">
      <c r="A4763"/>
    </row>
    <row r="4764" spans="1:1" ht="15" customHeight="1" x14ac:dyDescent="0.25">
      <c r="A4764"/>
    </row>
    <row r="4765" spans="1:1" ht="15" customHeight="1" x14ac:dyDescent="0.25">
      <c r="A4765"/>
    </row>
    <row r="4766" spans="1:1" ht="15" customHeight="1" x14ac:dyDescent="0.25">
      <c r="A4766"/>
    </row>
    <row r="4767" spans="1:1" ht="15" customHeight="1" x14ac:dyDescent="0.25">
      <c r="A4767"/>
    </row>
    <row r="4768" spans="1:1" ht="15" customHeight="1" x14ac:dyDescent="0.25">
      <c r="A4768"/>
    </row>
    <row r="4769" spans="1:1" ht="15" customHeight="1" x14ac:dyDescent="0.25">
      <c r="A4769"/>
    </row>
    <row r="4770" spans="1:1" ht="15" customHeight="1" x14ac:dyDescent="0.25">
      <c r="A4770"/>
    </row>
    <row r="4771" spans="1:1" ht="15" customHeight="1" x14ac:dyDescent="0.25">
      <c r="A4771"/>
    </row>
    <row r="4772" spans="1:1" ht="15" customHeight="1" x14ac:dyDescent="0.25">
      <c r="A4772"/>
    </row>
    <row r="4773" spans="1:1" ht="15" customHeight="1" x14ac:dyDescent="0.25">
      <c r="A4773"/>
    </row>
    <row r="4774" spans="1:1" ht="15" customHeight="1" x14ac:dyDescent="0.25">
      <c r="A4774"/>
    </row>
    <row r="4775" spans="1:1" ht="15" customHeight="1" x14ac:dyDescent="0.25">
      <c r="A4775"/>
    </row>
    <row r="4776" spans="1:1" ht="15" customHeight="1" x14ac:dyDescent="0.25">
      <c r="A4776"/>
    </row>
    <row r="4777" spans="1:1" ht="15" customHeight="1" x14ac:dyDescent="0.25">
      <c r="A4777"/>
    </row>
    <row r="4778" spans="1:1" ht="15" customHeight="1" x14ac:dyDescent="0.25">
      <c r="A4778"/>
    </row>
    <row r="4779" spans="1:1" ht="15" customHeight="1" x14ac:dyDescent="0.25">
      <c r="A4779"/>
    </row>
    <row r="4780" spans="1:1" ht="15" customHeight="1" x14ac:dyDescent="0.25">
      <c r="A4780"/>
    </row>
    <row r="4781" spans="1:1" ht="15" customHeight="1" x14ac:dyDescent="0.25">
      <c r="A4781"/>
    </row>
    <row r="4782" spans="1:1" ht="15" customHeight="1" x14ac:dyDescent="0.25">
      <c r="A4782"/>
    </row>
    <row r="4783" spans="1:1" ht="15" customHeight="1" x14ac:dyDescent="0.25">
      <c r="A4783"/>
    </row>
    <row r="4784" spans="1:1" ht="15" customHeight="1" x14ac:dyDescent="0.25">
      <c r="A4784"/>
    </row>
    <row r="4785" spans="1:1" ht="15" customHeight="1" x14ac:dyDescent="0.25">
      <c r="A4785"/>
    </row>
    <row r="4786" spans="1:1" ht="15" customHeight="1" x14ac:dyDescent="0.25">
      <c r="A4786"/>
    </row>
    <row r="4787" spans="1:1" ht="15" customHeight="1" x14ac:dyDescent="0.25">
      <c r="A4787"/>
    </row>
    <row r="4788" spans="1:1" ht="15" customHeight="1" x14ac:dyDescent="0.25">
      <c r="A4788"/>
    </row>
    <row r="4789" spans="1:1" ht="15" customHeight="1" x14ac:dyDescent="0.25">
      <c r="A4789"/>
    </row>
    <row r="4790" spans="1:1" ht="15" customHeight="1" x14ac:dyDescent="0.25">
      <c r="A4790"/>
    </row>
    <row r="4791" spans="1:1" ht="15" customHeight="1" x14ac:dyDescent="0.25">
      <c r="A4791"/>
    </row>
    <row r="4792" spans="1:1" ht="15" customHeight="1" x14ac:dyDescent="0.25">
      <c r="A4792"/>
    </row>
    <row r="4793" spans="1:1" ht="15" customHeight="1" x14ac:dyDescent="0.25">
      <c r="A4793"/>
    </row>
    <row r="4794" spans="1:1" ht="15" customHeight="1" x14ac:dyDescent="0.25">
      <c r="A4794"/>
    </row>
    <row r="4795" spans="1:1" ht="15" customHeight="1" x14ac:dyDescent="0.25">
      <c r="A4795"/>
    </row>
    <row r="4796" spans="1:1" ht="15" customHeight="1" x14ac:dyDescent="0.25">
      <c r="A4796"/>
    </row>
    <row r="4797" spans="1:1" ht="15" customHeight="1" x14ac:dyDescent="0.25">
      <c r="A4797"/>
    </row>
    <row r="4798" spans="1:1" ht="15" customHeight="1" x14ac:dyDescent="0.25">
      <c r="A4798"/>
    </row>
    <row r="4799" spans="1:1" ht="15" customHeight="1" x14ac:dyDescent="0.25">
      <c r="A4799"/>
    </row>
    <row r="4800" spans="1:1" ht="15" customHeight="1" x14ac:dyDescent="0.25">
      <c r="A4800"/>
    </row>
    <row r="4801" spans="1:1" ht="15" customHeight="1" x14ac:dyDescent="0.25">
      <c r="A4801"/>
    </row>
    <row r="4802" spans="1:1" ht="15" customHeight="1" x14ac:dyDescent="0.25">
      <c r="A4802"/>
    </row>
    <row r="4803" spans="1:1" ht="15" customHeight="1" x14ac:dyDescent="0.25">
      <c r="A4803"/>
    </row>
    <row r="4804" spans="1:1" ht="15" customHeight="1" x14ac:dyDescent="0.25">
      <c r="A4804"/>
    </row>
    <row r="4805" spans="1:1" ht="15" customHeight="1" x14ac:dyDescent="0.25">
      <c r="A4805"/>
    </row>
    <row r="4806" spans="1:1" ht="15" customHeight="1" x14ac:dyDescent="0.25">
      <c r="A4806"/>
    </row>
    <row r="4807" spans="1:1" ht="15" customHeight="1" x14ac:dyDescent="0.25">
      <c r="A4807"/>
    </row>
    <row r="4808" spans="1:1" ht="15" customHeight="1" x14ac:dyDescent="0.25">
      <c r="A4808"/>
    </row>
    <row r="4809" spans="1:1" ht="15" customHeight="1" x14ac:dyDescent="0.25">
      <c r="A4809"/>
    </row>
    <row r="4810" spans="1:1" ht="15" customHeight="1" x14ac:dyDescent="0.25">
      <c r="A4810"/>
    </row>
    <row r="4811" spans="1:1" ht="15" customHeight="1" x14ac:dyDescent="0.25">
      <c r="A4811"/>
    </row>
    <row r="4812" spans="1:1" ht="15" customHeight="1" x14ac:dyDescent="0.25">
      <c r="A4812"/>
    </row>
    <row r="4813" spans="1:1" ht="15" customHeight="1" x14ac:dyDescent="0.25">
      <c r="A4813"/>
    </row>
    <row r="4814" spans="1:1" ht="15" customHeight="1" x14ac:dyDescent="0.25">
      <c r="A4814"/>
    </row>
    <row r="4815" spans="1:1" ht="15" customHeight="1" x14ac:dyDescent="0.25">
      <c r="A4815"/>
    </row>
    <row r="4816" spans="1:1" ht="15" customHeight="1" x14ac:dyDescent="0.25">
      <c r="A4816"/>
    </row>
    <row r="4817" spans="1:1" ht="15" customHeight="1" x14ac:dyDescent="0.25">
      <c r="A4817"/>
    </row>
    <row r="4818" spans="1:1" ht="15" customHeight="1" x14ac:dyDescent="0.25">
      <c r="A4818"/>
    </row>
    <row r="4819" spans="1:1" ht="15" customHeight="1" x14ac:dyDescent="0.25">
      <c r="A4819"/>
    </row>
    <row r="4820" spans="1:1" ht="15" customHeight="1" x14ac:dyDescent="0.25">
      <c r="A4820"/>
    </row>
    <row r="4821" spans="1:1" ht="15" customHeight="1" x14ac:dyDescent="0.25">
      <c r="A4821"/>
    </row>
    <row r="4822" spans="1:1" ht="15" customHeight="1" x14ac:dyDescent="0.25">
      <c r="A4822"/>
    </row>
    <row r="4823" spans="1:1" ht="15" customHeight="1" x14ac:dyDescent="0.25">
      <c r="A4823"/>
    </row>
    <row r="4824" spans="1:1" ht="15" customHeight="1" x14ac:dyDescent="0.25">
      <c r="A4824"/>
    </row>
    <row r="4825" spans="1:1" ht="15" customHeight="1" x14ac:dyDescent="0.25">
      <c r="A4825"/>
    </row>
    <row r="4826" spans="1:1" ht="15" customHeight="1" x14ac:dyDescent="0.25">
      <c r="A4826"/>
    </row>
    <row r="4827" spans="1:1" ht="15" customHeight="1" x14ac:dyDescent="0.25">
      <c r="A4827"/>
    </row>
    <row r="4828" spans="1:1" ht="15" customHeight="1" x14ac:dyDescent="0.25">
      <c r="A4828"/>
    </row>
    <row r="4829" spans="1:1" ht="15" customHeight="1" x14ac:dyDescent="0.25">
      <c r="A4829"/>
    </row>
    <row r="4830" spans="1:1" ht="15" customHeight="1" x14ac:dyDescent="0.25">
      <c r="A4830"/>
    </row>
    <row r="4831" spans="1:1" ht="15" customHeight="1" x14ac:dyDescent="0.25">
      <c r="A4831"/>
    </row>
    <row r="4832" spans="1:1" ht="15" customHeight="1" x14ac:dyDescent="0.25">
      <c r="A4832"/>
    </row>
    <row r="4833" spans="1:1" ht="15" customHeight="1" x14ac:dyDescent="0.25">
      <c r="A4833"/>
    </row>
    <row r="4834" spans="1:1" ht="15" customHeight="1" x14ac:dyDescent="0.25">
      <c r="A4834"/>
    </row>
    <row r="4835" spans="1:1" ht="15" customHeight="1" x14ac:dyDescent="0.25">
      <c r="A4835"/>
    </row>
    <row r="4836" spans="1:1" ht="15" customHeight="1" x14ac:dyDescent="0.25">
      <c r="A4836"/>
    </row>
    <row r="4837" spans="1:1" ht="15" customHeight="1" x14ac:dyDescent="0.25">
      <c r="A4837"/>
    </row>
    <row r="4838" spans="1:1" ht="15" customHeight="1" x14ac:dyDescent="0.25">
      <c r="A4838"/>
    </row>
    <row r="4839" spans="1:1" ht="15" customHeight="1" x14ac:dyDescent="0.25">
      <c r="A4839"/>
    </row>
    <row r="4840" spans="1:1" ht="15" customHeight="1" x14ac:dyDescent="0.25">
      <c r="A4840"/>
    </row>
    <row r="4841" spans="1:1" ht="15" customHeight="1" x14ac:dyDescent="0.25">
      <c r="A4841"/>
    </row>
    <row r="4842" spans="1:1" ht="15" customHeight="1" x14ac:dyDescent="0.25">
      <c r="A4842"/>
    </row>
    <row r="4843" spans="1:1" ht="15" customHeight="1" x14ac:dyDescent="0.25">
      <c r="A4843"/>
    </row>
    <row r="4844" spans="1:1" ht="15" customHeight="1" x14ac:dyDescent="0.25">
      <c r="A4844"/>
    </row>
    <row r="4845" spans="1:1" ht="15" customHeight="1" x14ac:dyDescent="0.25">
      <c r="A4845"/>
    </row>
    <row r="4846" spans="1:1" ht="15" customHeight="1" x14ac:dyDescent="0.25">
      <c r="A4846"/>
    </row>
    <row r="4847" spans="1:1" ht="15" customHeight="1" x14ac:dyDescent="0.25">
      <c r="A4847"/>
    </row>
    <row r="4848" spans="1:1" ht="15" customHeight="1" x14ac:dyDescent="0.25">
      <c r="A4848"/>
    </row>
    <row r="4849" spans="1:1" ht="15" customHeight="1" x14ac:dyDescent="0.25">
      <c r="A4849"/>
    </row>
    <row r="4850" spans="1:1" ht="15" customHeight="1" x14ac:dyDescent="0.25">
      <c r="A4850"/>
    </row>
    <row r="4851" spans="1:1" ht="15" customHeight="1" x14ac:dyDescent="0.25">
      <c r="A4851"/>
    </row>
    <row r="4852" spans="1:1" ht="15" customHeight="1" x14ac:dyDescent="0.25">
      <c r="A4852"/>
    </row>
    <row r="4853" spans="1:1" ht="15" customHeight="1" x14ac:dyDescent="0.25">
      <c r="A4853"/>
    </row>
    <row r="4854" spans="1:1" ht="15" customHeight="1" x14ac:dyDescent="0.25">
      <c r="A4854"/>
    </row>
    <row r="4855" spans="1:1" ht="15" customHeight="1" x14ac:dyDescent="0.25">
      <c r="A4855"/>
    </row>
    <row r="4856" spans="1:1" ht="15" customHeight="1" x14ac:dyDescent="0.25">
      <c r="A4856"/>
    </row>
    <row r="4857" spans="1:1" ht="15" customHeight="1" x14ac:dyDescent="0.25">
      <c r="A4857"/>
    </row>
    <row r="4858" spans="1:1" ht="15" customHeight="1" x14ac:dyDescent="0.25">
      <c r="A4858"/>
    </row>
    <row r="4859" spans="1:1" ht="15" customHeight="1" x14ac:dyDescent="0.25">
      <c r="A4859"/>
    </row>
    <row r="4860" spans="1:1" ht="15" customHeight="1" x14ac:dyDescent="0.25">
      <c r="A4860"/>
    </row>
    <row r="4861" spans="1:1" ht="15" customHeight="1" x14ac:dyDescent="0.25">
      <c r="A4861"/>
    </row>
    <row r="4862" spans="1:1" ht="15" customHeight="1" x14ac:dyDescent="0.25">
      <c r="A4862"/>
    </row>
    <row r="4863" spans="1:1" ht="15" customHeight="1" x14ac:dyDescent="0.25">
      <c r="A4863"/>
    </row>
    <row r="4864" spans="1:1" ht="15" customHeight="1" x14ac:dyDescent="0.25">
      <c r="A4864"/>
    </row>
    <row r="4865" spans="1:1" ht="15" customHeight="1" x14ac:dyDescent="0.25">
      <c r="A4865"/>
    </row>
    <row r="4866" spans="1:1" ht="15" customHeight="1" x14ac:dyDescent="0.25">
      <c r="A4866"/>
    </row>
    <row r="4867" spans="1:1" ht="15" customHeight="1" x14ac:dyDescent="0.25">
      <c r="A4867"/>
    </row>
    <row r="4868" spans="1:1" ht="15" customHeight="1" x14ac:dyDescent="0.25">
      <c r="A4868"/>
    </row>
    <row r="4869" spans="1:1" ht="15" customHeight="1" x14ac:dyDescent="0.25">
      <c r="A4869"/>
    </row>
    <row r="4870" spans="1:1" ht="15" customHeight="1" x14ac:dyDescent="0.25">
      <c r="A4870"/>
    </row>
    <row r="4871" spans="1:1" ht="15" customHeight="1" x14ac:dyDescent="0.25">
      <c r="A4871"/>
    </row>
    <row r="4872" spans="1:1" ht="15" customHeight="1" x14ac:dyDescent="0.25">
      <c r="A4872"/>
    </row>
    <row r="4873" spans="1:1" ht="15" customHeight="1" x14ac:dyDescent="0.25">
      <c r="A4873"/>
    </row>
    <row r="4874" spans="1:1" ht="15" customHeight="1" x14ac:dyDescent="0.25">
      <c r="A4874"/>
    </row>
    <row r="4875" spans="1:1" ht="15" customHeight="1" x14ac:dyDescent="0.25">
      <c r="A4875"/>
    </row>
    <row r="4876" spans="1:1" ht="15" customHeight="1" x14ac:dyDescent="0.25">
      <c r="A4876"/>
    </row>
    <row r="4877" spans="1:1" ht="15" customHeight="1" x14ac:dyDescent="0.25">
      <c r="A4877"/>
    </row>
    <row r="4878" spans="1:1" ht="15" customHeight="1" x14ac:dyDescent="0.25">
      <c r="A4878"/>
    </row>
    <row r="4879" spans="1:1" ht="15" customHeight="1" x14ac:dyDescent="0.25">
      <c r="A4879"/>
    </row>
    <row r="4880" spans="1:1" ht="15" customHeight="1" x14ac:dyDescent="0.25">
      <c r="A4880"/>
    </row>
    <row r="4881" spans="1:1" ht="15" customHeight="1" x14ac:dyDescent="0.25">
      <c r="A4881"/>
    </row>
    <row r="4882" spans="1:1" ht="15" customHeight="1" x14ac:dyDescent="0.25">
      <c r="A4882"/>
    </row>
    <row r="4883" spans="1:1" ht="15" customHeight="1" x14ac:dyDescent="0.25">
      <c r="A4883"/>
    </row>
    <row r="4884" spans="1:1" ht="15" customHeight="1" x14ac:dyDescent="0.25">
      <c r="A4884"/>
    </row>
    <row r="4885" spans="1:1" ht="15" customHeight="1" x14ac:dyDescent="0.25">
      <c r="A4885"/>
    </row>
    <row r="4886" spans="1:1" ht="15" customHeight="1" x14ac:dyDescent="0.25">
      <c r="A4886"/>
    </row>
    <row r="4887" spans="1:1" ht="15" customHeight="1" x14ac:dyDescent="0.25">
      <c r="A4887"/>
    </row>
    <row r="4888" spans="1:1" ht="15" customHeight="1" x14ac:dyDescent="0.25">
      <c r="A4888"/>
    </row>
    <row r="4889" spans="1:1" ht="15" customHeight="1" x14ac:dyDescent="0.25">
      <c r="A4889"/>
    </row>
    <row r="4890" spans="1:1" ht="15" customHeight="1" x14ac:dyDescent="0.25">
      <c r="A4890"/>
    </row>
    <row r="4891" spans="1:1" ht="15" customHeight="1" x14ac:dyDescent="0.25">
      <c r="A4891"/>
    </row>
    <row r="4892" spans="1:1" ht="15" customHeight="1" x14ac:dyDescent="0.25">
      <c r="A4892"/>
    </row>
    <row r="4893" spans="1:1" ht="15" customHeight="1" x14ac:dyDescent="0.25">
      <c r="A4893"/>
    </row>
    <row r="4894" spans="1:1" ht="15" customHeight="1" x14ac:dyDescent="0.25">
      <c r="A4894"/>
    </row>
    <row r="4895" spans="1:1" ht="15" customHeight="1" x14ac:dyDescent="0.25">
      <c r="A4895"/>
    </row>
    <row r="4896" spans="1:1" ht="15" customHeight="1" x14ac:dyDescent="0.25">
      <c r="A4896"/>
    </row>
    <row r="4897" spans="1:1" ht="15" customHeight="1" x14ac:dyDescent="0.25">
      <c r="A4897"/>
    </row>
    <row r="4898" spans="1:1" ht="15" customHeight="1" x14ac:dyDescent="0.25">
      <c r="A4898"/>
    </row>
    <row r="4899" spans="1:1" ht="15" customHeight="1" x14ac:dyDescent="0.25">
      <c r="A4899"/>
    </row>
    <row r="4900" spans="1:1" ht="15" customHeight="1" x14ac:dyDescent="0.25">
      <c r="A4900"/>
    </row>
    <row r="4901" spans="1:1" ht="15" customHeight="1" x14ac:dyDescent="0.25">
      <c r="A4901"/>
    </row>
    <row r="4902" spans="1:1" ht="15" customHeight="1" x14ac:dyDescent="0.25">
      <c r="A4902"/>
    </row>
    <row r="4903" spans="1:1" ht="15" customHeight="1" x14ac:dyDescent="0.25">
      <c r="A4903"/>
    </row>
    <row r="4904" spans="1:1" ht="15" customHeight="1" x14ac:dyDescent="0.25">
      <c r="A4904"/>
    </row>
    <row r="4905" spans="1:1" ht="15" customHeight="1" x14ac:dyDescent="0.25">
      <c r="A4905"/>
    </row>
    <row r="4906" spans="1:1" ht="15" customHeight="1" x14ac:dyDescent="0.25">
      <c r="A4906"/>
    </row>
    <row r="4907" spans="1:1" ht="15" customHeight="1" x14ac:dyDescent="0.25">
      <c r="A4907"/>
    </row>
    <row r="4908" spans="1:1" ht="15" customHeight="1" x14ac:dyDescent="0.25">
      <c r="A4908"/>
    </row>
    <row r="4909" spans="1:1" ht="15" customHeight="1" x14ac:dyDescent="0.25">
      <c r="A4909"/>
    </row>
    <row r="4910" spans="1:1" ht="15" customHeight="1" x14ac:dyDescent="0.25">
      <c r="A4910"/>
    </row>
    <row r="4911" spans="1:1" ht="15" customHeight="1" x14ac:dyDescent="0.25">
      <c r="A4911"/>
    </row>
    <row r="4912" spans="1:1" ht="15" customHeight="1" x14ac:dyDescent="0.25">
      <c r="A4912"/>
    </row>
    <row r="4913" spans="1:1" ht="15" customHeight="1" x14ac:dyDescent="0.25">
      <c r="A4913"/>
    </row>
    <row r="4914" spans="1:1" ht="15" customHeight="1" x14ac:dyDescent="0.25">
      <c r="A4914"/>
    </row>
    <row r="4915" spans="1:1" ht="15" customHeight="1" x14ac:dyDescent="0.25">
      <c r="A4915"/>
    </row>
    <row r="4916" spans="1:1" ht="15" customHeight="1" x14ac:dyDescent="0.25">
      <c r="A4916"/>
    </row>
    <row r="4917" spans="1:1" ht="15" customHeight="1" x14ac:dyDescent="0.25">
      <c r="A4917"/>
    </row>
    <row r="4918" spans="1:1" ht="15" customHeight="1" x14ac:dyDescent="0.25">
      <c r="A4918"/>
    </row>
    <row r="4919" spans="1:1" ht="15" customHeight="1" x14ac:dyDescent="0.25">
      <c r="A4919"/>
    </row>
    <row r="4920" spans="1:1" ht="15" customHeight="1" x14ac:dyDescent="0.25">
      <c r="A4920"/>
    </row>
    <row r="4921" spans="1:1" ht="15" customHeight="1" x14ac:dyDescent="0.25">
      <c r="A4921"/>
    </row>
    <row r="4922" spans="1:1" ht="15" customHeight="1" x14ac:dyDescent="0.25">
      <c r="A4922"/>
    </row>
    <row r="4923" spans="1:1" ht="15" customHeight="1" x14ac:dyDescent="0.25">
      <c r="A4923"/>
    </row>
    <row r="4924" spans="1:1" ht="15" customHeight="1" x14ac:dyDescent="0.25">
      <c r="A4924"/>
    </row>
    <row r="4925" spans="1:1" ht="15" customHeight="1" x14ac:dyDescent="0.25">
      <c r="A4925"/>
    </row>
    <row r="4926" spans="1:1" ht="15" customHeight="1" x14ac:dyDescent="0.25">
      <c r="A4926"/>
    </row>
    <row r="4927" spans="1:1" ht="15" customHeight="1" x14ac:dyDescent="0.25">
      <c r="A4927"/>
    </row>
    <row r="4928" spans="1:1" ht="15" customHeight="1" x14ac:dyDescent="0.25">
      <c r="A4928"/>
    </row>
    <row r="4929" spans="1:1" ht="15" customHeight="1" x14ac:dyDescent="0.25">
      <c r="A4929"/>
    </row>
    <row r="4930" spans="1:1" ht="15" customHeight="1" x14ac:dyDescent="0.25">
      <c r="A4930"/>
    </row>
    <row r="4931" spans="1:1" ht="15" customHeight="1" x14ac:dyDescent="0.25">
      <c r="A4931"/>
    </row>
    <row r="4932" spans="1:1" ht="15" customHeight="1" x14ac:dyDescent="0.25">
      <c r="A4932"/>
    </row>
    <row r="4933" spans="1:1" ht="15" customHeight="1" x14ac:dyDescent="0.25">
      <c r="A4933"/>
    </row>
    <row r="4934" spans="1:1" ht="15" customHeight="1" x14ac:dyDescent="0.25">
      <c r="A4934"/>
    </row>
    <row r="4935" spans="1:1" ht="15" customHeight="1" x14ac:dyDescent="0.25">
      <c r="A4935"/>
    </row>
    <row r="4936" spans="1:1" ht="15" customHeight="1" x14ac:dyDescent="0.25">
      <c r="A4936"/>
    </row>
    <row r="4937" spans="1:1" ht="15" customHeight="1" x14ac:dyDescent="0.25">
      <c r="A4937"/>
    </row>
    <row r="4938" spans="1:1" ht="15" customHeight="1" x14ac:dyDescent="0.25">
      <c r="A4938"/>
    </row>
    <row r="4939" spans="1:1" ht="15" customHeight="1" x14ac:dyDescent="0.25">
      <c r="A4939"/>
    </row>
    <row r="4940" spans="1:1" ht="15" customHeight="1" x14ac:dyDescent="0.25">
      <c r="A4940"/>
    </row>
    <row r="4941" spans="1:1" ht="15" customHeight="1" x14ac:dyDescent="0.25">
      <c r="A4941"/>
    </row>
    <row r="4942" spans="1:1" ht="15" customHeight="1" x14ac:dyDescent="0.25">
      <c r="A4942"/>
    </row>
    <row r="4943" spans="1:1" ht="15" customHeight="1" x14ac:dyDescent="0.25">
      <c r="A4943"/>
    </row>
    <row r="4944" spans="1:1" ht="15" customHeight="1" x14ac:dyDescent="0.25">
      <c r="A4944"/>
    </row>
    <row r="4945" spans="1:1" ht="15" customHeight="1" x14ac:dyDescent="0.25">
      <c r="A4945"/>
    </row>
    <row r="4946" spans="1:1" ht="15" customHeight="1" x14ac:dyDescent="0.25">
      <c r="A4946"/>
    </row>
    <row r="4947" spans="1:1" ht="15" customHeight="1" x14ac:dyDescent="0.25">
      <c r="A4947"/>
    </row>
    <row r="4948" spans="1:1" ht="15" customHeight="1" x14ac:dyDescent="0.25">
      <c r="A4948"/>
    </row>
    <row r="4949" spans="1:1" ht="15" customHeight="1" x14ac:dyDescent="0.25">
      <c r="A4949"/>
    </row>
    <row r="4950" spans="1:1" ht="15" customHeight="1" x14ac:dyDescent="0.25">
      <c r="A4950"/>
    </row>
    <row r="4951" spans="1:1" ht="15" customHeight="1" x14ac:dyDescent="0.25">
      <c r="A4951"/>
    </row>
    <row r="4952" spans="1:1" ht="15" customHeight="1" x14ac:dyDescent="0.25">
      <c r="A4952"/>
    </row>
    <row r="4953" spans="1:1" ht="15" customHeight="1" x14ac:dyDescent="0.25">
      <c r="A4953"/>
    </row>
    <row r="4954" spans="1:1" ht="15" customHeight="1" x14ac:dyDescent="0.25">
      <c r="A4954"/>
    </row>
    <row r="4955" spans="1:1" ht="15" customHeight="1" x14ac:dyDescent="0.25">
      <c r="A4955"/>
    </row>
    <row r="4956" spans="1:1" ht="15" customHeight="1" x14ac:dyDescent="0.25">
      <c r="A4956"/>
    </row>
    <row r="4957" spans="1:1" ht="15" customHeight="1" x14ac:dyDescent="0.25">
      <c r="A4957"/>
    </row>
    <row r="4958" spans="1:1" ht="15" customHeight="1" x14ac:dyDescent="0.25">
      <c r="A4958"/>
    </row>
    <row r="4959" spans="1:1" ht="15" customHeight="1" x14ac:dyDescent="0.25">
      <c r="A4959"/>
    </row>
    <row r="4960" spans="1:1" ht="15" customHeight="1" x14ac:dyDescent="0.25">
      <c r="A4960"/>
    </row>
    <row r="4961" spans="1:1" ht="15" customHeight="1" x14ac:dyDescent="0.25">
      <c r="A4961"/>
    </row>
    <row r="4962" spans="1:1" ht="15" customHeight="1" x14ac:dyDescent="0.25">
      <c r="A4962"/>
    </row>
    <row r="4963" spans="1:1" ht="15" customHeight="1" x14ac:dyDescent="0.25">
      <c r="A4963"/>
    </row>
    <row r="4964" spans="1:1" ht="15" customHeight="1" x14ac:dyDescent="0.25">
      <c r="A4964"/>
    </row>
    <row r="4965" spans="1:1" ht="15" customHeight="1" x14ac:dyDescent="0.25">
      <c r="A4965"/>
    </row>
    <row r="4966" spans="1:1" ht="15" customHeight="1" x14ac:dyDescent="0.25">
      <c r="A4966"/>
    </row>
    <row r="4967" spans="1:1" ht="15" customHeight="1" x14ac:dyDescent="0.25">
      <c r="A4967"/>
    </row>
    <row r="4968" spans="1:1" ht="15" customHeight="1" x14ac:dyDescent="0.25">
      <c r="A4968"/>
    </row>
    <row r="4969" spans="1:1" ht="15" customHeight="1" x14ac:dyDescent="0.25">
      <c r="A4969"/>
    </row>
    <row r="4970" spans="1:1" ht="15" customHeight="1" x14ac:dyDescent="0.25">
      <c r="A4970"/>
    </row>
    <row r="4971" spans="1:1" ht="15" customHeight="1" x14ac:dyDescent="0.25">
      <c r="A4971"/>
    </row>
    <row r="4972" spans="1:1" ht="15" customHeight="1" x14ac:dyDescent="0.25">
      <c r="A4972"/>
    </row>
    <row r="4973" spans="1:1" ht="15" customHeight="1" x14ac:dyDescent="0.25">
      <c r="A4973"/>
    </row>
    <row r="4974" spans="1:1" ht="15" customHeight="1" x14ac:dyDescent="0.25">
      <c r="A4974"/>
    </row>
    <row r="4975" spans="1:1" ht="15" customHeight="1" x14ac:dyDescent="0.25">
      <c r="A4975"/>
    </row>
    <row r="4976" spans="1:1" ht="15" customHeight="1" x14ac:dyDescent="0.25">
      <c r="A4976"/>
    </row>
    <row r="4977" spans="1:1" ht="15" customHeight="1" x14ac:dyDescent="0.25">
      <c r="A4977"/>
    </row>
    <row r="4978" spans="1:1" ht="15" customHeight="1" x14ac:dyDescent="0.25">
      <c r="A4978"/>
    </row>
    <row r="4979" spans="1:1" ht="15" customHeight="1" x14ac:dyDescent="0.25">
      <c r="A4979"/>
    </row>
    <row r="4980" spans="1:1" ht="15" customHeight="1" x14ac:dyDescent="0.25">
      <c r="A4980"/>
    </row>
    <row r="4981" spans="1:1" ht="15" customHeight="1" x14ac:dyDescent="0.25">
      <c r="A4981"/>
    </row>
    <row r="4982" spans="1:1" ht="15" customHeight="1" x14ac:dyDescent="0.25">
      <c r="A4982"/>
    </row>
    <row r="4983" spans="1:1" ht="15" customHeight="1" x14ac:dyDescent="0.25">
      <c r="A4983"/>
    </row>
    <row r="4984" spans="1:1" ht="15" customHeight="1" x14ac:dyDescent="0.25">
      <c r="A4984"/>
    </row>
    <row r="4985" spans="1:1" ht="15" customHeight="1" x14ac:dyDescent="0.25">
      <c r="A4985"/>
    </row>
    <row r="4986" spans="1:1" ht="15" customHeight="1" x14ac:dyDescent="0.25">
      <c r="A4986"/>
    </row>
    <row r="4987" spans="1:1" ht="15" customHeight="1" x14ac:dyDescent="0.25">
      <c r="A4987"/>
    </row>
    <row r="4988" spans="1:1" ht="15" customHeight="1" x14ac:dyDescent="0.25">
      <c r="A4988"/>
    </row>
    <row r="4989" spans="1:1" ht="15" customHeight="1" x14ac:dyDescent="0.25">
      <c r="A4989"/>
    </row>
    <row r="4990" spans="1:1" ht="15" customHeight="1" x14ac:dyDescent="0.25">
      <c r="A4990"/>
    </row>
    <row r="4991" spans="1:1" ht="15" customHeight="1" x14ac:dyDescent="0.25">
      <c r="A4991"/>
    </row>
    <row r="4992" spans="1:1" ht="15" customHeight="1" x14ac:dyDescent="0.25">
      <c r="A4992"/>
    </row>
    <row r="4993" spans="1:1" ht="15" customHeight="1" x14ac:dyDescent="0.25">
      <c r="A4993"/>
    </row>
    <row r="4994" spans="1:1" ht="15" customHeight="1" x14ac:dyDescent="0.25">
      <c r="A4994"/>
    </row>
    <row r="4995" spans="1:1" ht="15" customHeight="1" x14ac:dyDescent="0.25">
      <c r="A4995"/>
    </row>
    <row r="4996" spans="1:1" ht="15" customHeight="1" x14ac:dyDescent="0.25">
      <c r="A4996"/>
    </row>
    <row r="4997" spans="1:1" ht="15" customHeight="1" x14ac:dyDescent="0.25">
      <c r="A4997"/>
    </row>
    <row r="4998" spans="1:1" ht="15" customHeight="1" x14ac:dyDescent="0.25">
      <c r="A4998"/>
    </row>
    <row r="4999" spans="1:1" ht="15" customHeight="1" x14ac:dyDescent="0.25">
      <c r="A4999"/>
    </row>
    <row r="5000" spans="1:1" ht="15" customHeight="1" x14ac:dyDescent="0.25">
      <c r="A5000"/>
    </row>
    <row r="5001" spans="1:1" ht="15" customHeight="1" x14ac:dyDescent="0.25">
      <c r="A5001"/>
    </row>
    <row r="5002" spans="1:1" ht="15" customHeight="1" x14ac:dyDescent="0.25">
      <c r="A5002"/>
    </row>
    <row r="5003" spans="1:1" ht="15" customHeight="1" x14ac:dyDescent="0.25">
      <c r="A5003"/>
    </row>
    <row r="5004" spans="1:1" ht="15" customHeight="1" x14ac:dyDescent="0.25">
      <c r="A5004"/>
    </row>
    <row r="5005" spans="1:1" ht="15" customHeight="1" x14ac:dyDescent="0.25">
      <c r="A5005"/>
    </row>
    <row r="5006" spans="1:1" ht="15" customHeight="1" x14ac:dyDescent="0.25">
      <c r="A5006"/>
    </row>
    <row r="5007" spans="1:1" ht="15" customHeight="1" x14ac:dyDescent="0.25">
      <c r="A5007"/>
    </row>
    <row r="5008" spans="1:1" ht="15" customHeight="1" x14ac:dyDescent="0.25">
      <c r="A5008"/>
    </row>
    <row r="5009" spans="1:1" ht="15" customHeight="1" x14ac:dyDescent="0.25">
      <c r="A5009"/>
    </row>
    <row r="5010" spans="1:1" ht="15" customHeight="1" x14ac:dyDescent="0.25">
      <c r="A5010"/>
    </row>
    <row r="5011" spans="1:1" ht="15" customHeight="1" x14ac:dyDescent="0.25">
      <c r="A5011"/>
    </row>
    <row r="5012" spans="1:1" ht="15" customHeight="1" x14ac:dyDescent="0.25">
      <c r="A5012"/>
    </row>
    <row r="5013" spans="1:1" ht="15" customHeight="1" x14ac:dyDescent="0.25">
      <c r="A5013"/>
    </row>
    <row r="5014" spans="1:1" ht="15" customHeight="1" x14ac:dyDescent="0.25">
      <c r="A5014"/>
    </row>
    <row r="5015" spans="1:1" ht="15" customHeight="1" x14ac:dyDescent="0.25">
      <c r="A5015"/>
    </row>
    <row r="5016" spans="1:1" ht="15" customHeight="1" x14ac:dyDescent="0.25">
      <c r="A5016"/>
    </row>
    <row r="5017" spans="1:1" ht="15" customHeight="1" x14ac:dyDescent="0.25">
      <c r="A5017"/>
    </row>
    <row r="5018" spans="1:1" ht="15" customHeight="1" x14ac:dyDescent="0.25">
      <c r="A5018"/>
    </row>
    <row r="5019" spans="1:1" ht="15" customHeight="1" x14ac:dyDescent="0.25">
      <c r="A5019"/>
    </row>
    <row r="5020" spans="1:1" ht="15" customHeight="1" x14ac:dyDescent="0.25">
      <c r="A5020"/>
    </row>
    <row r="5021" spans="1:1" ht="15" customHeight="1" x14ac:dyDescent="0.25">
      <c r="A5021"/>
    </row>
    <row r="5022" spans="1:1" ht="15" customHeight="1" x14ac:dyDescent="0.25">
      <c r="A5022"/>
    </row>
    <row r="5023" spans="1:1" ht="15" customHeight="1" x14ac:dyDescent="0.25">
      <c r="A5023"/>
    </row>
    <row r="5024" spans="1:1" ht="15" customHeight="1" x14ac:dyDescent="0.25">
      <c r="A5024"/>
    </row>
    <row r="5025" spans="1:1" ht="15" customHeight="1" x14ac:dyDescent="0.25">
      <c r="A5025"/>
    </row>
    <row r="5026" spans="1:1" ht="15" customHeight="1" x14ac:dyDescent="0.25">
      <c r="A5026"/>
    </row>
    <row r="5027" spans="1:1" ht="15" customHeight="1" x14ac:dyDescent="0.25">
      <c r="A5027"/>
    </row>
    <row r="5028" spans="1:1" ht="15" customHeight="1" x14ac:dyDescent="0.25">
      <c r="A5028"/>
    </row>
    <row r="5029" spans="1:1" ht="15" customHeight="1" x14ac:dyDescent="0.25">
      <c r="A5029"/>
    </row>
    <row r="5030" spans="1:1" ht="15" customHeight="1" x14ac:dyDescent="0.25">
      <c r="A5030"/>
    </row>
    <row r="5031" spans="1:1" ht="15" customHeight="1" x14ac:dyDescent="0.25">
      <c r="A5031"/>
    </row>
    <row r="5032" spans="1:1" ht="15" customHeight="1" x14ac:dyDescent="0.25">
      <c r="A5032"/>
    </row>
    <row r="5033" spans="1:1" ht="15" customHeight="1" x14ac:dyDescent="0.25">
      <c r="A5033"/>
    </row>
    <row r="5034" spans="1:1" ht="15" customHeight="1" x14ac:dyDescent="0.25">
      <c r="A5034"/>
    </row>
    <row r="5035" spans="1:1" ht="15" customHeight="1" x14ac:dyDescent="0.25">
      <c r="A5035"/>
    </row>
    <row r="5036" spans="1:1" ht="15" customHeight="1" x14ac:dyDescent="0.25">
      <c r="A5036"/>
    </row>
    <row r="5037" spans="1:1" ht="15" customHeight="1" x14ac:dyDescent="0.25">
      <c r="A5037"/>
    </row>
    <row r="5038" spans="1:1" ht="15" customHeight="1" x14ac:dyDescent="0.25">
      <c r="A5038"/>
    </row>
    <row r="5039" spans="1:1" ht="15" customHeight="1" x14ac:dyDescent="0.25">
      <c r="A5039"/>
    </row>
    <row r="5040" spans="1:1" ht="15" customHeight="1" x14ac:dyDescent="0.25">
      <c r="A5040"/>
    </row>
    <row r="5041" spans="1:1" ht="15" customHeight="1" x14ac:dyDescent="0.25">
      <c r="A5041"/>
    </row>
    <row r="5042" spans="1:1" ht="15" customHeight="1" x14ac:dyDescent="0.25">
      <c r="A5042"/>
    </row>
    <row r="5043" spans="1:1" ht="15" customHeight="1" x14ac:dyDescent="0.25">
      <c r="A5043"/>
    </row>
    <row r="5044" spans="1:1" ht="15" customHeight="1" x14ac:dyDescent="0.25">
      <c r="A5044"/>
    </row>
    <row r="5045" spans="1:1" ht="15" customHeight="1" x14ac:dyDescent="0.25">
      <c r="A5045"/>
    </row>
    <row r="5046" spans="1:1" ht="15" customHeight="1" x14ac:dyDescent="0.25">
      <c r="A5046"/>
    </row>
    <row r="5047" spans="1:1" ht="15" customHeight="1" x14ac:dyDescent="0.25">
      <c r="A5047"/>
    </row>
    <row r="5048" spans="1:1" ht="15" customHeight="1" x14ac:dyDescent="0.25">
      <c r="A5048"/>
    </row>
    <row r="5049" spans="1:1" ht="15" customHeight="1" x14ac:dyDescent="0.25">
      <c r="A5049"/>
    </row>
    <row r="5050" spans="1:1" ht="15" customHeight="1" x14ac:dyDescent="0.25">
      <c r="A5050"/>
    </row>
    <row r="5051" spans="1:1" ht="15" customHeight="1" x14ac:dyDescent="0.25">
      <c r="A5051"/>
    </row>
    <row r="5052" spans="1:1" ht="15" customHeight="1" x14ac:dyDescent="0.25">
      <c r="A5052"/>
    </row>
    <row r="5053" spans="1:1" ht="15" customHeight="1" x14ac:dyDescent="0.25">
      <c r="A5053"/>
    </row>
    <row r="5054" spans="1:1" ht="15" customHeight="1" x14ac:dyDescent="0.25">
      <c r="A5054"/>
    </row>
    <row r="5055" spans="1:1" ht="15" customHeight="1" x14ac:dyDescent="0.25">
      <c r="A5055"/>
    </row>
    <row r="5056" spans="1:1" ht="15" customHeight="1" x14ac:dyDescent="0.25">
      <c r="A5056"/>
    </row>
    <row r="5057" spans="1:1" ht="15" customHeight="1" x14ac:dyDescent="0.25">
      <c r="A5057"/>
    </row>
    <row r="5058" spans="1:1" ht="15" customHeight="1" x14ac:dyDescent="0.25">
      <c r="A5058"/>
    </row>
    <row r="5059" spans="1:1" ht="15" customHeight="1" x14ac:dyDescent="0.25">
      <c r="A5059"/>
    </row>
    <row r="5060" spans="1:1" ht="15" customHeight="1" x14ac:dyDescent="0.25">
      <c r="A5060"/>
    </row>
    <row r="5061" spans="1:1" ht="15" customHeight="1" x14ac:dyDescent="0.25">
      <c r="A5061"/>
    </row>
    <row r="5062" spans="1:1" ht="15" customHeight="1" x14ac:dyDescent="0.25">
      <c r="A5062"/>
    </row>
    <row r="5063" spans="1:1" ht="15" customHeight="1" x14ac:dyDescent="0.25">
      <c r="A5063"/>
    </row>
    <row r="5064" spans="1:1" ht="15" customHeight="1" x14ac:dyDescent="0.25">
      <c r="A5064"/>
    </row>
    <row r="5065" spans="1:1" ht="15" customHeight="1" x14ac:dyDescent="0.25">
      <c r="A5065"/>
    </row>
    <row r="5066" spans="1:1" ht="15" customHeight="1" x14ac:dyDescent="0.25">
      <c r="A5066"/>
    </row>
    <row r="5067" spans="1:1" ht="15" customHeight="1" x14ac:dyDescent="0.25">
      <c r="A5067"/>
    </row>
    <row r="5068" spans="1:1" ht="15" customHeight="1" x14ac:dyDescent="0.25">
      <c r="A5068"/>
    </row>
    <row r="5069" spans="1:1" ht="15" customHeight="1" x14ac:dyDescent="0.25">
      <c r="A5069"/>
    </row>
    <row r="5070" spans="1:1" ht="15" customHeight="1" x14ac:dyDescent="0.25">
      <c r="A5070"/>
    </row>
    <row r="5071" spans="1:1" ht="15" customHeight="1" x14ac:dyDescent="0.25">
      <c r="A5071"/>
    </row>
    <row r="5072" spans="1:1" ht="15" customHeight="1" x14ac:dyDescent="0.25">
      <c r="A5072"/>
    </row>
    <row r="5073" spans="1:1" ht="15" customHeight="1" x14ac:dyDescent="0.25">
      <c r="A5073"/>
    </row>
    <row r="5074" spans="1:1" ht="15" customHeight="1" x14ac:dyDescent="0.25">
      <c r="A5074"/>
    </row>
    <row r="5075" spans="1:1" ht="15" customHeight="1" x14ac:dyDescent="0.25">
      <c r="A5075"/>
    </row>
    <row r="5076" spans="1:1" ht="15" customHeight="1" x14ac:dyDescent="0.25">
      <c r="A5076"/>
    </row>
    <row r="5077" spans="1:1" ht="15" customHeight="1" x14ac:dyDescent="0.25">
      <c r="A5077"/>
    </row>
    <row r="5078" spans="1:1" ht="15" customHeight="1" x14ac:dyDescent="0.25">
      <c r="A5078"/>
    </row>
    <row r="5079" spans="1:1" ht="15" customHeight="1" x14ac:dyDescent="0.25">
      <c r="A5079"/>
    </row>
    <row r="5080" spans="1:1" ht="15" customHeight="1" x14ac:dyDescent="0.25">
      <c r="A5080"/>
    </row>
    <row r="5081" spans="1:1" ht="15" customHeight="1" x14ac:dyDescent="0.25">
      <c r="A5081"/>
    </row>
    <row r="5082" spans="1:1" ht="15" customHeight="1" x14ac:dyDescent="0.25">
      <c r="A5082"/>
    </row>
    <row r="5083" spans="1:1" ht="15" customHeight="1" x14ac:dyDescent="0.25">
      <c r="A5083"/>
    </row>
    <row r="5084" spans="1:1" ht="15" customHeight="1" x14ac:dyDescent="0.25">
      <c r="A5084"/>
    </row>
    <row r="5085" spans="1:1" ht="15" customHeight="1" x14ac:dyDescent="0.25">
      <c r="A5085"/>
    </row>
    <row r="5086" spans="1:1" ht="15" customHeight="1" x14ac:dyDescent="0.25">
      <c r="A5086"/>
    </row>
    <row r="5087" spans="1:1" ht="15" customHeight="1" x14ac:dyDescent="0.25">
      <c r="A5087"/>
    </row>
    <row r="5088" spans="1:1" ht="15" customHeight="1" x14ac:dyDescent="0.25">
      <c r="A5088"/>
    </row>
    <row r="5089" spans="1:1" ht="15" customHeight="1" x14ac:dyDescent="0.25">
      <c r="A5089"/>
    </row>
    <row r="5090" spans="1:1" ht="15" customHeight="1" x14ac:dyDescent="0.25">
      <c r="A5090"/>
    </row>
    <row r="5091" spans="1:1" ht="15" customHeight="1" x14ac:dyDescent="0.25">
      <c r="A5091"/>
    </row>
    <row r="5092" spans="1:1" ht="15" customHeight="1" x14ac:dyDescent="0.25">
      <c r="A5092"/>
    </row>
    <row r="5093" spans="1:1" ht="15" customHeight="1" x14ac:dyDescent="0.25">
      <c r="A5093"/>
    </row>
    <row r="5094" spans="1:1" ht="15" customHeight="1" x14ac:dyDescent="0.25">
      <c r="A5094"/>
    </row>
    <row r="5095" spans="1:1" ht="15" customHeight="1" x14ac:dyDescent="0.25">
      <c r="A5095"/>
    </row>
    <row r="5096" spans="1:1" ht="15" customHeight="1" x14ac:dyDescent="0.25">
      <c r="A5096"/>
    </row>
    <row r="5097" spans="1:1" ht="15" customHeight="1" x14ac:dyDescent="0.25">
      <c r="A5097"/>
    </row>
    <row r="5098" spans="1:1" ht="15" customHeight="1" x14ac:dyDescent="0.25">
      <c r="A5098"/>
    </row>
    <row r="5099" spans="1:1" ht="15" customHeight="1" x14ac:dyDescent="0.25">
      <c r="A5099"/>
    </row>
    <row r="5100" spans="1:1" ht="15" customHeight="1" x14ac:dyDescent="0.25">
      <c r="A5100"/>
    </row>
    <row r="5101" spans="1:1" ht="15" customHeight="1" x14ac:dyDescent="0.25">
      <c r="A5101"/>
    </row>
    <row r="5102" spans="1:1" ht="15" customHeight="1" x14ac:dyDescent="0.25">
      <c r="A5102"/>
    </row>
    <row r="5103" spans="1:1" ht="15" customHeight="1" x14ac:dyDescent="0.25">
      <c r="A5103"/>
    </row>
    <row r="5104" spans="1:1" ht="15" customHeight="1" x14ac:dyDescent="0.25">
      <c r="A5104"/>
    </row>
    <row r="5105" spans="1:1" ht="15" customHeight="1" x14ac:dyDescent="0.25">
      <c r="A5105"/>
    </row>
    <row r="5106" spans="1:1" ht="15" customHeight="1" x14ac:dyDescent="0.25">
      <c r="A5106"/>
    </row>
    <row r="5107" spans="1:1" ht="15" customHeight="1" x14ac:dyDescent="0.25">
      <c r="A5107"/>
    </row>
    <row r="5108" spans="1:1" ht="15" customHeight="1" x14ac:dyDescent="0.25">
      <c r="A5108"/>
    </row>
    <row r="5109" spans="1:1" ht="15" customHeight="1" x14ac:dyDescent="0.25">
      <c r="A5109"/>
    </row>
    <row r="5110" spans="1:1" ht="15" customHeight="1" x14ac:dyDescent="0.25">
      <c r="A5110"/>
    </row>
    <row r="5111" spans="1:1" ht="15" customHeight="1" x14ac:dyDescent="0.25">
      <c r="A5111"/>
    </row>
    <row r="5112" spans="1:1" ht="15" customHeight="1" x14ac:dyDescent="0.25">
      <c r="A5112"/>
    </row>
    <row r="5113" spans="1:1" ht="15" customHeight="1" x14ac:dyDescent="0.25">
      <c r="A5113"/>
    </row>
    <row r="5114" spans="1:1" ht="15" customHeight="1" x14ac:dyDescent="0.25">
      <c r="A5114"/>
    </row>
    <row r="5115" spans="1:1" ht="15" customHeight="1" x14ac:dyDescent="0.25">
      <c r="A5115"/>
    </row>
    <row r="5116" spans="1:1" ht="15" customHeight="1" x14ac:dyDescent="0.25">
      <c r="A5116"/>
    </row>
    <row r="5117" spans="1:1" ht="15" customHeight="1" x14ac:dyDescent="0.25">
      <c r="A5117"/>
    </row>
    <row r="5118" spans="1:1" ht="15" customHeight="1" x14ac:dyDescent="0.25">
      <c r="A5118"/>
    </row>
    <row r="5119" spans="1:1" ht="15" customHeight="1" x14ac:dyDescent="0.25">
      <c r="A5119"/>
    </row>
    <row r="5120" spans="1:1" ht="15" customHeight="1" x14ac:dyDescent="0.25">
      <c r="A5120"/>
    </row>
    <row r="5121" spans="1:1" ht="15" customHeight="1" x14ac:dyDescent="0.25">
      <c r="A5121"/>
    </row>
    <row r="5122" spans="1:1" ht="15" customHeight="1" x14ac:dyDescent="0.25">
      <c r="A5122"/>
    </row>
    <row r="5123" spans="1:1" ht="15" customHeight="1" x14ac:dyDescent="0.25">
      <c r="A5123"/>
    </row>
    <row r="5124" spans="1:1" ht="15" customHeight="1" x14ac:dyDescent="0.25">
      <c r="A5124"/>
    </row>
    <row r="5125" spans="1:1" ht="15" customHeight="1" x14ac:dyDescent="0.25">
      <c r="A5125"/>
    </row>
    <row r="5126" spans="1:1" ht="15" customHeight="1" x14ac:dyDescent="0.25">
      <c r="A5126"/>
    </row>
    <row r="5127" spans="1:1" ht="15" customHeight="1" x14ac:dyDescent="0.25">
      <c r="A5127"/>
    </row>
    <row r="5128" spans="1:1" ht="15" customHeight="1" x14ac:dyDescent="0.25">
      <c r="A5128"/>
    </row>
    <row r="5129" spans="1:1" ht="15" customHeight="1" x14ac:dyDescent="0.25">
      <c r="A5129"/>
    </row>
    <row r="5130" spans="1:1" ht="15" customHeight="1" x14ac:dyDescent="0.25">
      <c r="A5130"/>
    </row>
    <row r="5131" spans="1:1" ht="15" customHeight="1" x14ac:dyDescent="0.25">
      <c r="A5131"/>
    </row>
    <row r="5132" spans="1:1" ht="15" customHeight="1" x14ac:dyDescent="0.25">
      <c r="A5132"/>
    </row>
    <row r="5133" spans="1:1" ht="15" customHeight="1" x14ac:dyDescent="0.25">
      <c r="A5133"/>
    </row>
    <row r="5134" spans="1:1" ht="15" customHeight="1" x14ac:dyDescent="0.25">
      <c r="A5134"/>
    </row>
    <row r="5135" spans="1:1" ht="15" customHeight="1" x14ac:dyDescent="0.25">
      <c r="A5135"/>
    </row>
    <row r="5136" spans="1:1" ht="15" customHeight="1" x14ac:dyDescent="0.25">
      <c r="A5136"/>
    </row>
    <row r="5137" spans="1:1" ht="15" customHeight="1" x14ac:dyDescent="0.25">
      <c r="A5137"/>
    </row>
    <row r="5138" spans="1:1" ht="15" customHeight="1" x14ac:dyDescent="0.25">
      <c r="A5138"/>
    </row>
    <row r="5139" spans="1:1" ht="15" customHeight="1" x14ac:dyDescent="0.25">
      <c r="A5139"/>
    </row>
    <row r="5140" spans="1:1" ht="15" customHeight="1" x14ac:dyDescent="0.25">
      <c r="A5140"/>
    </row>
    <row r="5141" spans="1:1" ht="15" customHeight="1" x14ac:dyDescent="0.25">
      <c r="A5141"/>
    </row>
    <row r="5142" spans="1:1" ht="15" customHeight="1" x14ac:dyDescent="0.25">
      <c r="A5142"/>
    </row>
    <row r="5143" spans="1:1" ht="15" customHeight="1" x14ac:dyDescent="0.25">
      <c r="A5143"/>
    </row>
    <row r="5144" spans="1:1" ht="15" customHeight="1" x14ac:dyDescent="0.25">
      <c r="A5144"/>
    </row>
    <row r="5145" spans="1:1" ht="15" customHeight="1" x14ac:dyDescent="0.25">
      <c r="A5145"/>
    </row>
    <row r="5146" spans="1:1" ht="15" customHeight="1" x14ac:dyDescent="0.25">
      <c r="A5146"/>
    </row>
    <row r="5147" spans="1:1" ht="15" customHeight="1" x14ac:dyDescent="0.25">
      <c r="A5147"/>
    </row>
    <row r="5148" spans="1:1" ht="15" customHeight="1" x14ac:dyDescent="0.25">
      <c r="A5148"/>
    </row>
    <row r="5149" spans="1:1" ht="15" customHeight="1" x14ac:dyDescent="0.25">
      <c r="A5149"/>
    </row>
    <row r="5150" spans="1:1" ht="15" customHeight="1" x14ac:dyDescent="0.25">
      <c r="A5150"/>
    </row>
    <row r="5151" spans="1:1" ht="15" customHeight="1" x14ac:dyDescent="0.25">
      <c r="A5151"/>
    </row>
    <row r="5152" spans="1:1" ht="15" customHeight="1" x14ac:dyDescent="0.25">
      <c r="A5152"/>
    </row>
    <row r="5153" spans="1:1" ht="15" customHeight="1" x14ac:dyDescent="0.25">
      <c r="A5153"/>
    </row>
    <row r="5154" spans="1:1" ht="15" customHeight="1" x14ac:dyDescent="0.25">
      <c r="A5154"/>
    </row>
    <row r="5155" spans="1:1" ht="15" customHeight="1" x14ac:dyDescent="0.25">
      <c r="A5155"/>
    </row>
    <row r="5156" spans="1:1" ht="15" customHeight="1" x14ac:dyDescent="0.25">
      <c r="A5156"/>
    </row>
    <row r="5157" spans="1:1" ht="15" customHeight="1" x14ac:dyDescent="0.25">
      <c r="A5157"/>
    </row>
    <row r="5158" spans="1:1" ht="15" customHeight="1" x14ac:dyDescent="0.25">
      <c r="A5158"/>
    </row>
    <row r="5159" spans="1:1" ht="15" customHeight="1" x14ac:dyDescent="0.25">
      <c r="A5159"/>
    </row>
    <row r="5160" spans="1:1" ht="15" customHeight="1" x14ac:dyDescent="0.25">
      <c r="A5160"/>
    </row>
    <row r="5161" spans="1:1" ht="15" customHeight="1" x14ac:dyDescent="0.25">
      <c r="A5161"/>
    </row>
    <row r="5162" spans="1:1" ht="15" customHeight="1" x14ac:dyDescent="0.25">
      <c r="A5162"/>
    </row>
    <row r="5163" spans="1:1" ht="15" customHeight="1" x14ac:dyDescent="0.25">
      <c r="A5163"/>
    </row>
    <row r="5164" spans="1:1" ht="15" customHeight="1" x14ac:dyDescent="0.25">
      <c r="A5164"/>
    </row>
    <row r="5165" spans="1:1" ht="15" customHeight="1" x14ac:dyDescent="0.25">
      <c r="A5165"/>
    </row>
    <row r="5166" spans="1:1" ht="15" customHeight="1" x14ac:dyDescent="0.25">
      <c r="A5166"/>
    </row>
    <row r="5167" spans="1:1" ht="15" customHeight="1" x14ac:dyDescent="0.25">
      <c r="A5167"/>
    </row>
    <row r="5168" spans="1:1" ht="15" customHeight="1" x14ac:dyDescent="0.25">
      <c r="A5168"/>
    </row>
    <row r="5169" spans="1:1" ht="15" customHeight="1" x14ac:dyDescent="0.25">
      <c r="A5169"/>
    </row>
    <row r="5170" spans="1:1" ht="15" customHeight="1" x14ac:dyDescent="0.25">
      <c r="A5170"/>
    </row>
    <row r="5171" spans="1:1" ht="15" customHeight="1" x14ac:dyDescent="0.25">
      <c r="A5171"/>
    </row>
    <row r="5172" spans="1:1" ht="15" customHeight="1" x14ac:dyDescent="0.25">
      <c r="A5172"/>
    </row>
    <row r="5173" spans="1:1" ht="15" customHeight="1" x14ac:dyDescent="0.25">
      <c r="A5173"/>
    </row>
    <row r="5174" spans="1:1" ht="15" customHeight="1" x14ac:dyDescent="0.25">
      <c r="A5174"/>
    </row>
    <row r="5175" spans="1:1" ht="15" customHeight="1" x14ac:dyDescent="0.25">
      <c r="A5175"/>
    </row>
    <row r="5176" spans="1:1" ht="15" customHeight="1" x14ac:dyDescent="0.25">
      <c r="A5176"/>
    </row>
    <row r="5177" spans="1:1" ht="15" customHeight="1" x14ac:dyDescent="0.25">
      <c r="A5177"/>
    </row>
    <row r="5178" spans="1:1" ht="15" customHeight="1" x14ac:dyDescent="0.25">
      <c r="A5178"/>
    </row>
    <row r="5179" spans="1:1" ht="15" customHeight="1" x14ac:dyDescent="0.25">
      <c r="A5179"/>
    </row>
    <row r="5180" spans="1:1" ht="15" customHeight="1" x14ac:dyDescent="0.25">
      <c r="A5180"/>
    </row>
    <row r="5181" spans="1:1" ht="15" customHeight="1" x14ac:dyDescent="0.25">
      <c r="A5181"/>
    </row>
    <row r="5182" spans="1:1" ht="15" customHeight="1" x14ac:dyDescent="0.25">
      <c r="A5182"/>
    </row>
    <row r="5183" spans="1:1" ht="15" customHeight="1" x14ac:dyDescent="0.25">
      <c r="A5183"/>
    </row>
    <row r="5184" spans="1:1" ht="15" customHeight="1" x14ac:dyDescent="0.25">
      <c r="A5184"/>
    </row>
    <row r="5185" spans="1:1" ht="15" customHeight="1" x14ac:dyDescent="0.25">
      <c r="A5185"/>
    </row>
    <row r="5186" spans="1:1" ht="15" customHeight="1" x14ac:dyDescent="0.25">
      <c r="A5186"/>
    </row>
    <row r="5187" spans="1:1" ht="15" customHeight="1" x14ac:dyDescent="0.25">
      <c r="A5187"/>
    </row>
    <row r="5188" spans="1:1" ht="15" customHeight="1" x14ac:dyDescent="0.25">
      <c r="A5188"/>
    </row>
    <row r="5189" spans="1:1" ht="15" customHeight="1" x14ac:dyDescent="0.25">
      <c r="A5189"/>
    </row>
    <row r="5190" spans="1:1" ht="15" customHeight="1" x14ac:dyDescent="0.25">
      <c r="A5190"/>
    </row>
    <row r="5191" spans="1:1" ht="15" customHeight="1" x14ac:dyDescent="0.25">
      <c r="A5191"/>
    </row>
    <row r="5192" spans="1:1" ht="15" customHeight="1" x14ac:dyDescent="0.25">
      <c r="A5192"/>
    </row>
    <row r="5193" spans="1:1" ht="15" customHeight="1" x14ac:dyDescent="0.25">
      <c r="A5193"/>
    </row>
    <row r="5194" spans="1:1" ht="15" customHeight="1" x14ac:dyDescent="0.25">
      <c r="A5194"/>
    </row>
    <row r="5195" spans="1:1" ht="15" customHeight="1" x14ac:dyDescent="0.25">
      <c r="A5195"/>
    </row>
    <row r="5196" spans="1:1" ht="15" customHeight="1" x14ac:dyDescent="0.25">
      <c r="A5196"/>
    </row>
    <row r="5197" spans="1:1" ht="15" customHeight="1" x14ac:dyDescent="0.25">
      <c r="A5197"/>
    </row>
    <row r="5198" spans="1:1" ht="15" customHeight="1" x14ac:dyDescent="0.25">
      <c r="A5198"/>
    </row>
    <row r="5199" spans="1:1" ht="15" customHeight="1" x14ac:dyDescent="0.25">
      <c r="A5199"/>
    </row>
    <row r="5200" spans="1:1" ht="15" customHeight="1" x14ac:dyDescent="0.25">
      <c r="A5200"/>
    </row>
    <row r="5201" spans="1:1" ht="15" customHeight="1" x14ac:dyDescent="0.25">
      <c r="A5201"/>
    </row>
    <row r="5202" spans="1:1" ht="15" customHeight="1" x14ac:dyDescent="0.25">
      <c r="A5202"/>
    </row>
    <row r="5203" spans="1:1" ht="15" customHeight="1" x14ac:dyDescent="0.25">
      <c r="A5203"/>
    </row>
    <row r="5204" spans="1:1" ht="15" customHeight="1" x14ac:dyDescent="0.25">
      <c r="A5204"/>
    </row>
    <row r="5205" spans="1:1" ht="15" customHeight="1" x14ac:dyDescent="0.25">
      <c r="A5205"/>
    </row>
    <row r="5206" spans="1:1" ht="15" customHeight="1" x14ac:dyDescent="0.25">
      <c r="A5206"/>
    </row>
    <row r="5207" spans="1:1" ht="15" customHeight="1" x14ac:dyDescent="0.25">
      <c r="A5207"/>
    </row>
    <row r="5208" spans="1:1" ht="15" customHeight="1" x14ac:dyDescent="0.25">
      <c r="A5208"/>
    </row>
    <row r="5209" spans="1:1" ht="15" customHeight="1" x14ac:dyDescent="0.25">
      <c r="A5209"/>
    </row>
    <row r="5210" spans="1:1" ht="15" customHeight="1" x14ac:dyDescent="0.25">
      <c r="A5210"/>
    </row>
    <row r="5211" spans="1:1" ht="15" customHeight="1" x14ac:dyDescent="0.25">
      <c r="A5211"/>
    </row>
    <row r="5212" spans="1:1" ht="15" customHeight="1" x14ac:dyDescent="0.25">
      <c r="A5212"/>
    </row>
    <row r="5213" spans="1:1" ht="15" customHeight="1" x14ac:dyDescent="0.25">
      <c r="A5213"/>
    </row>
    <row r="5214" spans="1:1" ht="15" customHeight="1" x14ac:dyDescent="0.25">
      <c r="A5214"/>
    </row>
    <row r="5215" spans="1:1" ht="15" customHeight="1" x14ac:dyDescent="0.25">
      <c r="A5215"/>
    </row>
    <row r="5216" spans="1:1" ht="15" customHeight="1" x14ac:dyDescent="0.25">
      <c r="A5216"/>
    </row>
    <row r="5217" spans="1:1" ht="15" customHeight="1" x14ac:dyDescent="0.25">
      <c r="A5217"/>
    </row>
    <row r="5218" spans="1:1" ht="15" customHeight="1" x14ac:dyDescent="0.25">
      <c r="A5218"/>
    </row>
    <row r="5219" spans="1:1" ht="15" customHeight="1" x14ac:dyDescent="0.25">
      <c r="A5219"/>
    </row>
    <row r="5220" spans="1:1" ht="15" customHeight="1" x14ac:dyDescent="0.25">
      <c r="A5220"/>
    </row>
    <row r="5221" spans="1:1" ht="15" customHeight="1" x14ac:dyDescent="0.25">
      <c r="A5221"/>
    </row>
    <row r="5222" spans="1:1" ht="15" customHeight="1" x14ac:dyDescent="0.25">
      <c r="A5222"/>
    </row>
    <row r="5223" spans="1:1" ht="15" customHeight="1" x14ac:dyDescent="0.25">
      <c r="A5223"/>
    </row>
    <row r="5224" spans="1:1" ht="15" customHeight="1" x14ac:dyDescent="0.25">
      <c r="A5224"/>
    </row>
    <row r="5225" spans="1:1" ht="15" customHeight="1" x14ac:dyDescent="0.25">
      <c r="A5225"/>
    </row>
    <row r="5226" spans="1:1" ht="15" customHeight="1" x14ac:dyDescent="0.25">
      <c r="A5226"/>
    </row>
    <row r="5227" spans="1:1" ht="15" customHeight="1" x14ac:dyDescent="0.25">
      <c r="A5227"/>
    </row>
    <row r="5228" spans="1:1" ht="15" customHeight="1" x14ac:dyDescent="0.25">
      <c r="A5228"/>
    </row>
    <row r="5229" spans="1:1" ht="15" customHeight="1" x14ac:dyDescent="0.25">
      <c r="A5229"/>
    </row>
    <row r="5230" spans="1:1" ht="15" customHeight="1" x14ac:dyDescent="0.25">
      <c r="A5230"/>
    </row>
    <row r="5231" spans="1:1" ht="15" customHeight="1" x14ac:dyDescent="0.25">
      <c r="A5231"/>
    </row>
    <row r="5232" spans="1:1" ht="15" customHeight="1" x14ac:dyDescent="0.25">
      <c r="A5232"/>
    </row>
    <row r="5233" spans="1:1" ht="15" customHeight="1" x14ac:dyDescent="0.25">
      <c r="A5233"/>
    </row>
    <row r="5234" spans="1:1" ht="15" customHeight="1" x14ac:dyDescent="0.25">
      <c r="A5234"/>
    </row>
    <row r="5235" spans="1:1" ht="15" customHeight="1" x14ac:dyDescent="0.25">
      <c r="A5235"/>
    </row>
    <row r="5236" spans="1:1" ht="15" customHeight="1" x14ac:dyDescent="0.25">
      <c r="A5236"/>
    </row>
    <row r="5237" spans="1:1" ht="15" customHeight="1" x14ac:dyDescent="0.25">
      <c r="A5237"/>
    </row>
    <row r="5238" spans="1:1" ht="15" customHeight="1" x14ac:dyDescent="0.25">
      <c r="A5238"/>
    </row>
    <row r="5239" spans="1:1" ht="15" customHeight="1" x14ac:dyDescent="0.25">
      <c r="A5239"/>
    </row>
    <row r="5240" spans="1:1" ht="15" customHeight="1" x14ac:dyDescent="0.25">
      <c r="A5240"/>
    </row>
    <row r="5241" spans="1:1" ht="15" customHeight="1" x14ac:dyDescent="0.25">
      <c r="A5241"/>
    </row>
    <row r="5242" spans="1:1" ht="15" customHeight="1" x14ac:dyDescent="0.25">
      <c r="A5242"/>
    </row>
    <row r="5243" spans="1:1" ht="15" customHeight="1" x14ac:dyDescent="0.25">
      <c r="A5243"/>
    </row>
    <row r="5244" spans="1:1" ht="15" customHeight="1" x14ac:dyDescent="0.25">
      <c r="A5244"/>
    </row>
    <row r="5245" spans="1:1" ht="15" customHeight="1" x14ac:dyDescent="0.25">
      <c r="A5245"/>
    </row>
    <row r="5246" spans="1:1" ht="15" customHeight="1" x14ac:dyDescent="0.25">
      <c r="A5246"/>
    </row>
    <row r="5247" spans="1:1" ht="15" customHeight="1" x14ac:dyDescent="0.25">
      <c r="A5247"/>
    </row>
    <row r="5248" spans="1:1" ht="15" customHeight="1" x14ac:dyDescent="0.25">
      <c r="A5248"/>
    </row>
    <row r="5249" spans="1:1" ht="15" customHeight="1" x14ac:dyDescent="0.25">
      <c r="A5249"/>
    </row>
    <row r="5250" spans="1:1" ht="15" customHeight="1" x14ac:dyDescent="0.25">
      <c r="A5250"/>
    </row>
    <row r="5251" spans="1:1" ht="15" customHeight="1" x14ac:dyDescent="0.25">
      <c r="A5251"/>
    </row>
    <row r="5252" spans="1:1" ht="15" customHeight="1" x14ac:dyDescent="0.25">
      <c r="A5252"/>
    </row>
    <row r="5253" spans="1:1" ht="15" customHeight="1" x14ac:dyDescent="0.25">
      <c r="A5253"/>
    </row>
    <row r="5254" spans="1:1" ht="15" customHeight="1" x14ac:dyDescent="0.25">
      <c r="A5254"/>
    </row>
    <row r="5255" spans="1:1" ht="15" customHeight="1" x14ac:dyDescent="0.25">
      <c r="A5255"/>
    </row>
    <row r="5256" spans="1:1" ht="15" customHeight="1" x14ac:dyDescent="0.25">
      <c r="A5256"/>
    </row>
    <row r="5257" spans="1:1" ht="15" customHeight="1" x14ac:dyDescent="0.25">
      <c r="A5257"/>
    </row>
    <row r="5258" spans="1:1" ht="15" customHeight="1" x14ac:dyDescent="0.25">
      <c r="A5258"/>
    </row>
    <row r="5259" spans="1:1" ht="15" customHeight="1" x14ac:dyDescent="0.25">
      <c r="A5259"/>
    </row>
    <row r="5260" spans="1:1" ht="15" customHeight="1" x14ac:dyDescent="0.25">
      <c r="A5260"/>
    </row>
    <row r="5261" spans="1:1" ht="15" customHeight="1" x14ac:dyDescent="0.25">
      <c r="A5261"/>
    </row>
    <row r="5262" spans="1:1" ht="15" customHeight="1" x14ac:dyDescent="0.25">
      <c r="A5262"/>
    </row>
    <row r="5263" spans="1:1" ht="15" customHeight="1" x14ac:dyDescent="0.25">
      <c r="A5263"/>
    </row>
    <row r="5264" spans="1:1" ht="15" customHeight="1" x14ac:dyDescent="0.25">
      <c r="A5264"/>
    </row>
    <row r="5265" spans="1:1" ht="15" customHeight="1" x14ac:dyDescent="0.25">
      <c r="A5265"/>
    </row>
    <row r="5266" spans="1:1" ht="15" customHeight="1" x14ac:dyDescent="0.25">
      <c r="A5266"/>
    </row>
    <row r="5267" spans="1:1" ht="15" customHeight="1" x14ac:dyDescent="0.25">
      <c r="A5267"/>
    </row>
    <row r="5268" spans="1:1" ht="15" customHeight="1" x14ac:dyDescent="0.25">
      <c r="A5268"/>
    </row>
    <row r="5269" spans="1:1" ht="15" customHeight="1" x14ac:dyDescent="0.25">
      <c r="A5269"/>
    </row>
    <row r="5270" spans="1:1" ht="15" customHeight="1" x14ac:dyDescent="0.25">
      <c r="A5270"/>
    </row>
    <row r="5271" spans="1:1" ht="15" customHeight="1" x14ac:dyDescent="0.25">
      <c r="A5271"/>
    </row>
    <row r="5272" spans="1:1" ht="15" customHeight="1" x14ac:dyDescent="0.25">
      <c r="A5272"/>
    </row>
    <row r="5273" spans="1:1" ht="15" customHeight="1" x14ac:dyDescent="0.25">
      <c r="A5273"/>
    </row>
    <row r="5274" spans="1:1" ht="15" customHeight="1" x14ac:dyDescent="0.25">
      <c r="A5274"/>
    </row>
    <row r="5275" spans="1:1" ht="15" customHeight="1" x14ac:dyDescent="0.25">
      <c r="A5275"/>
    </row>
    <row r="5276" spans="1:1" ht="15" customHeight="1" x14ac:dyDescent="0.25">
      <c r="A5276"/>
    </row>
    <row r="5277" spans="1:1" ht="15" customHeight="1" x14ac:dyDescent="0.25">
      <c r="A5277"/>
    </row>
    <row r="5278" spans="1:1" ht="15" customHeight="1" x14ac:dyDescent="0.25">
      <c r="A5278"/>
    </row>
    <row r="5279" spans="1:1" ht="15" customHeight="1" x14ac:dyDescent="0.25">
      <c r="A5279"/>
    </row>
    <row r="5280" spans="1:1" ht="15" customHeight="1" x14ac:dyDescent="0.25">
      <c r="A5280"/>
    </row>
    <row r="5281" spans="1:1" ht="15" customHeight="1" x14ac:dyDescent="0.25">
      <c r="A5281"/>
    </row>
    <row r="5282" spans="1:1" ht="15" customHeight="1" x14ac:dyDescent="0.25">
      <c r="A5282"/>
    </row>
    <row r="5283" spans="1:1" ht="15" customHeight="1" x14ac:dyDescent="0.25">
      <c r="A5283"/>
    </row>
    <row r="5284" spans="1:1" ht="15" customHeight="1" x14ac:dyDescent="0.25">
      <c r="A5284"/>
    </row>
    <row r="5285" spans="1:1" ht="15" customHeight="1" x14ac:dyDescent="0.25">
      <c r="A5285"/>
    </row>
    <row r="5286" spans="1:1" ht="15" customHeight="1" x14ac:dyDescent="0.25">
      <c r="A5286"/>
    </row>
    <row r="5287" spans="1:1" ht="15" customHeight="1" x14ac:dyDescent="0.25">
      <c r="A5287"/>
    </row>
    <row r="5288" spans="1:1" ht="15" customHeight="1" x14ac:dyDescent="0.25">
      <c r="A5288"/>
    </row>
    <row r="5289" spans="1:1" ht="15" customHeight="1" x14ac:dyDescent="0.25">
      <c r="A5289"/>
    </row>
    <row r="5290" spans="1:1" ht="15" customHeight="1" x14ac:dyDescent="0.25">
      <c r="A5290"/>
    </row>
    <row r="5291" spans="1:1" ht="15" customHeight="1" x14ac:dyDescent="0.25">
      <c r="A5291"/>
    </row>
    <row r="5292" spans="1:1" ht="15" customHeight="1" x14ac:dyDescent="0.25">
      <c r="A5292"/>
    </row>
    <row r="5293" spans="1:1" ht="15" customHeight="1" x14ac:dyDescent="0.25">
      <c r="A5293"/>
    </row>
    <row r="5294" spans="1:1" ht="15" customHeight="1" x14ac:dyDescent="0.25">
      <c r="A5294"/>
    </row>
    <row r="5295" spans="1:1" ht="15" customHeight="1" x14ac:dyDescent="0.25">
      <c r="A5295"/>
    </row>
    <row r="5296" spans="1:1" ht="15" customHeight="1" x14ac:dyDescent="0.25">
      <c r="A5296"/>
    </row>
    <row r="5297" spans="1:1" ht="15" customHeight="1" x14ac:dyDescent="0.25">
      <c r="A5297"/>
    </row>
    <row r="5298" spans="1:1" ht="15" customHeight="1" x14ac:dyDescent="0.25">
      <c r="A5298"/>
    </row>
    <row r="5299" spans="1:1" ht="15" customHeight="1" x14ac:dyDescent="0.25">
      <c r="A5299"/>
    </row>
    <row r="5300" spans="1:1" ht="15" customHeight="1" x14ac:dyDescent="0.25">
      <c r="A5300"/>
    </row>
    <row r="5301" spans="1:1" ht="15" customHeight="1" x14ac:dyDescent="0.25">
      <c r="A5301"/>
    </row>
    <row r="5302" spans="1:1" ht="15" customHeight="1" x14ac:dyDescent="0.25">
      <c r="A5302"/>
    </row>
    <row r="5303" spans="1:1" ht="15" customHeight="1" x14ac:dyDescent="0.25">
      <c r="A5303"/>
    </row>
    <row r="5304" spans="1:1" ht="15" customHeight="1" x14ac:dyDescent="0.25">
      <c r="A5304"/>
    </row>
    <row r="5305" spans="1:1" ht="15" customHeight="1" x14ac:dyDescent="0.25">
      <c r="A5305"/>
    </row>
    <row r="5306" spans="1:1" ht="15" customHeight="1" x14ac:dyDescent="0.25">
      <c r="A5306"/>
    </row>
    <row r="5307" spans="1:1" ht="15" customHeight="1" x14ac:dyDescent="0.25">
      <c r="A5307"/>
    </row>
    <row r="5308" spans="1:1" ht="15" customHeight="1" x14ac:dyDescent="0.25">
      <c r="A5308"/>
    </row>
    <row r="5309" spans="1:1" ht="15" customHeight="1" x14ac:dyDescent="0.25">
      <c r="A5309"/>
    </row>
    <row r="5310" spans="1:1" ht="15" customHeight="1" x14ac:dyDescent="0.25">
      <c r="A5310"/>
    </row>
    <row r="5311" spans="1:1" ht="15" customHeight="1" x14ac:dyDescent="0.25">
      <c r="A5311"/>
    </row>
    <row r="5312" spans="1:1" ht="15" customHeight="1" x14ac:dyDescent="0.25">
      <c r="A5312"/>
    </row>
    <row r="5313" spans="1:1" ht="15" customHeight="1" x14ac:dyDescent="0.25">
      <c r="A5313"/>
    </row>
    <row r="5314" spans="1:1" ht="15" customHeight="1" x14ac:dyDescent="0.25">
      <c r="A5314"/>
    </row>
    <row r="5315" spans="1:1" ht="15" customHeight="1" x14ac:dyDescent="0.25">
      <c r="A5315"/>
    </row>
    <row r="5316" spans="1:1" ht="15" customHeight="1" x14ac:dyDescent="0.25">
      <c r="A5316"/>
    </row>
    <row r="5317" spans="1:1" ht="15" customHeight="1" x14ac:dyDescent="0.25">
      <c r="A5317"/>
    </row>
    <row r="5318" spans="1:1" ht="15" customHeight="1" x14ac:dyDescent="0.25">
      <c r="A5318"/>
    </row>
    <row r="5319" spans="1:1" ht="15" customHeight="1" x14ac:dyDescent="0.25">
      <c r="A5319"/>
    </row>
    <row r="5320" spans="1:1" ht="15" customHeight="1" x14ac:dyDescent="0.25">
      <c r="A5320"/>
    </row>
    <row r="5321" spans="1:1" ht="15" customHeight="1" x14ac:dyDescent="0.25">
      <c r="A5321"/>
    </row>
    <row r="5322" spans="1:1" ht="15" customHeight="1" x14ac:dyDescent="0.25">
      <c r="A5322"/>
    </row>
    <row r="5323" spans="1:1" ht="15" customHeight="1" x14ac:dyDescent="0.25">
      <c r="A5323"/>
    </row>
    <row r="5324" spans="1:1" ht="15" customHeight="1" x14ac:dyDescent="0.25">
      <c r="A5324"/>
    </row>
    <row r="5325" spans="1:1" ht="15" customHeight="1" x14ac:dyDescent="0.25">
      <c r="A5325"/>
    </row>
    <row r="5326" spans="1:1" ht="15" customHeight="1" x14ac:dyDescent="0.25">
      <c r="A5326"/>
    </row>
    <row r="5327" spans="1:1" ht="15" customHeight="1" x14ac:dyDescent="0.25">
      <c r="A5327"/>
    </row>
    <row r="5328" spans="1:1" ht="15" customHeight="1" x14ac:dyDescent="0.25">
      <c r="A5328"/>
    </row>
    <row r="5329" spans="1:1" ht="15" customHeight="1" x14ac:dyDescent="0.25">
      <c r="A5329"/>
    </row>
    <row r="5330" spans="1:1" ht="15" customHeight="1" x14ac:dyDescent="0.25">
      <c r="A5330"/>
    </row>
    <row r="5331" spans="1:1" ht="15" customHeight="1" x14ac:dyDescent="0.25">
      <c r="A5331"/>
    </row>
    <row r="5332" spans="1:1" ht="15" customHeight="1" x14ac:dyDescent="0.25">
      <c r="A5332"/>
    </row>
    <row r="5333" spans="1:1" ht="15" customHeight="1" x14ac:dyDescent="0.25">
      <c r="A5333"/>
    </row>
    <row r="5334" spans="1:1" ht="15" customHeight="1" x14ac:dyDescent="0.25">
      <c r="A5334"/>
    </row>
    <row r="5335" spans="1:1" ht="15" customHeight="1" x14ac:dyDescent="0.25">
      <c r="A5335"/>
    </row>
    <row r="5336" spans="1:1" ht="15" customHeight="1" x14ac:dyDescent="0.25">
      <c r="A5336"/>
    </row>
    <row r="5337" spans="1:1" ht="15" customHeight="1" x14ac:dyDescent="0.25">
      <c r="A5337"/>
    </row>
    <row r="5338" spans="1:1" ht="15" customHeight="1" x14ac:dyDescent="0.25">
      <c r="A5338"/>
    </row>
    <row r="5339" spans="1:1" ht="15" customHeight="1" x14ac:dyDescent="0.25">
      <c r="A5339"/>
    </row>
    <row r="5340" spans="1:1" ht="15" customHeight="1" x14ac:dyDescent="0.25">
      <c r="A5340"/>
    </row>
    <row r="5341" spans="1:1" ht="15" customHeight="1" x14ac:dyDescent="0.25">
      <c r="A5341"/>
    </row>
    <row r="5342" spans="1:1" ht="15" customHeight="1" x14ac:dyDescent="0.25">
      <c r="A5342"/>
    </row>
    <row r="5343" spans="1:1" ht="15" customHeight="1" x14ac:dyDescent="0.25">
      <c r="A5343"/>
    </row>
    <row r="5344" spans="1:1" ht="15" customHeight="1" x14ac:dyDescent="0.25">
      <c r="A5344"/>
    </row>
    <row r="5345" spans="1:1" ht="15" customHeight="1" x14ac:dyDescent="0.25">
      <c r="A5345"/>
    </row>
    <row r="5346" spans="1:1" ht="15" customHeight="1" x14ac:dyDescent="0.25">
      <c r="A5346"/>
    </row>
    <row r="5347" spans="1:1" ht="15" customHeight="1" x14ac:dyDescent="0.25">
      <c r="A5347"/>
    </row>
    <row r="5348" spans="1:1" ht="15" customHeight="1" x14ac:dyDescent="0.25">
      <c r="A5348"/>
    </row>
    <row r="5349" spans="1:1" ht="15" customHeight="1" x14ac:dyDescent="0.25">
      <c r="A5349"/>
    </row>
    <row r="5350" spans="1:1" ht="15" customHeight="1" x14ac:dyDescent="0.25">
      <c r="A5350"/>
    </row>
    <row r="5351" spans="1:1" ht="15" customHeight="1" x14ac:dyDescent="0.25">
      <c r="A5351"/>
    </row>
    <row r="5352" spans="1:1" ht="15" customHeight="1" x14ac:dyDescent="0.25">
      <c r="A5352"/>
    </row>
    <row r="5353" spans="1:1" ht="15" customHeight="1" x14ac:dyDescent="0.25">
      <c r="A5353"/>
    </row>
    <row r="5354" spans="1:1" ht="15" customHeight="1" x14ac:dyDescent="0.25">
      <c r="A5354"/>
    </row>
    <row r="5355" spans="1:1" ht="15" customHeight="1" x14ac:dyDescent="0.25">
      <c r="A5355"/>
    </row>
    <row r="5356" spans="1:1" ht="15" customHeight="1" x14ac:dyDescent="0.25">
      <c r="A5356"/>
    </row>
    <row r="5357" spans="1:1" ht="15" customHeight="1" x14ac:dyDescent="0.25">
      <c r="A5357"/>
    </row>
    <row r="5358" spans="1:1" ht="15" customHeight="1" x14ac:dyDescent="0.25">
      <c r="A5358"/>
    </row>
    <row r="5359" spans="1:1" ht="15" customHeight="1" x14ac:dyDescent="0.25">
      <c r="A5359"/>
    </row>
    <row r="5360" spans="1:1" ht="15" customHeight="1" x14ac:dyDescent="0.25">
      <c r="A5360"/>
    </row>
    <row r="5361" spans="1:1" ht="15" customHeight="1" x14ac:dyDescent="0.25">
      <c r="A5361"/>
    </row>
    <row r="5362" spans="1:1" ht="15" customHeight="1" x14ac:dyDescent="0.25">
      <c r="A5362"/>
    </row>
    <row r="5363" spans="1:1" ht="15" customHeight="1" x14ac:dyDescent="0.25">
      <c r="A5363"/>
    </row>
    <row r="5364" spans="1:1" ht="15" customHeight="1" x14ac:dyDescent="0.25">
      <c r="A5364"/>
    </row>
    <row r="5365" spans="1:1" ht="15" customHeight="1" x14ac:dyDescent="0.25">
      <c r="A5365"/>
    </row>
    <row r="5366" spans="1:1" ht="15" customHeight="1" x14ac:dyDescent="0.25">
      <c r="A5366"/>
    </row>
    <row r="5367" spans="1:1" ht="15" customHeight="1" x14ac:dyDescent="0.25">
      <c r="A5367"/>
    </row>
    <row r="5368" spans="1:1" ht="15" customHeight="1" x14ac:dyDescent="0.25">
      <c r="A5368"/>
    </row>
    <row r="5369" spans="1:1" ht="15" customHeight="1" x14ac:dyDescent="0.25">
      <c r="A5369"/>
    </row>
    <row r="5370" spans="1:1" ht="15" customHeight="1" x14ac:dyDescent="0.25">
      <c r="A5370"/>
    </row>
    <row r="5371" spans="1:1" ht="15" customHeight="1" x14ac:dyDescent="0.25">
      <c r="A5371"/>
    </row>
    <row r="5372" spans="1:1" ht="15" customHeight="1" x14ac:dyDescent="0.25">
      <c r="A5372"/>
    </row>
    <row r="5373" spans="1:1" ht="15" customHeight="1" x14ac:dyDescent="0.25">
      <c r="A5373"/>
    </row>
    <row r="5374" spans="1:1" ht="15" customHeight="1" x14ac:dyDescent="0.25">
      <c r="A5374"/>
    </row>
    <row r="5375" spans="1:1" ht="15" customHeight="1" x14ac:dyDescent="0.25">
      <c r="A5375"/>
    </row>
    <row r="5376" spans="1:1" ht="15" customHeight="1" x14ac:dyDescent="0.25">
      <c r="A5376"/>
    </row>
    <row r="5377" spans="1:1" ht="15" customHeight="1" x14ac:dyDescent="0.25">
      <c r="A5377"/>
    </row>
    <row r="5378" spans="1:1" ht="15" customHeight="1" x14ac:dyDescent="0.25">
      <c r="A5378"/>
    </row>
    <row r="5379" spans="1:1" ht="15" customHeight="1" x14ac:dyDescent="0.25">
      <c r="A5379"/>
    </row>
    <row r="5380" spans="1:1" ht="15" customHeight="1" x14ac:dyDescent="0.25">
      <c r="A5380"/>
    </row>
    <row r="5381" spans="1:1" ht="15" customHeight="1" x14ac:dyDescent="0.25">
      <c r="A5381"/>
    </row>
    <row r="5382" spans="1:1" ht="15" customHeight="1" x14ac:dyDescent="0.25">
      <c r="A5382"/>
    </row>
    <row r="5383" spans="1:1" ht="15" customHeight="1" x14ac:dyDescent="0.25">
      <c r="A5383"/>
    </row>
    <row r="5384" spans="1:1" ht="15" customHeight="1" x14ac:dyDescent="0.25">
      <c r="A5384"/>
    </row>
    <row r="5385" spans="1:1" ht="15" customHeight="1" x14ac:dyDescent="0.25">
      <c r="A5385"/>
    </row>
    <row r="5386" spans="1:1" ht="15" customHeight="1" x14ac:dyDescent="0.25">
      <c r="A5386"/>
    </row>
    <row r="5387" spans="1:1" ht="15" customHeight="1" x14ac:dyDescent="0.25">
      <c r="A5387"/>
    </row>
    <row r="5388" spans="1:1" ht="15" customHeight="1" x14ac:dyDescent="0.25">
      <c r="A5388"/>
    </row>
    <row r="5389" spans="1:1" ht="15" customHeight="1" x14ac:dyDescent="0.25">
      <c r="A5389"/>
    </row>
    <row r="5390" spans="1:1" ht="15" customHeight="1" x14ac:dyDescent="0.25">
      <c r="A5390"/>
    </row>
    <row r="5391" spans="1:1" ht="15" customHeight="1" x14ac:dyDescent="0.25">
      <c r="A5391"/>
    </row>
    <row r="5392" spans="1:1" ht="15" customHeight="1" x14ac:dyDescent="0.25">
      <c r="A5392"/>
    </row>
    <row r="5393" spans="1:1" ht="15" customHeight="1" x14ac:dyDescent="0.25">
      <c r="A5393"/>
    </row>
    <row r="5394" spans="1:1" ht="15" customHeight="1" x14ac:dyDescent="0.25">
      <c r="A5394"/>
    </row>
    <row r="5395" spans="1:1" ht="15" customHeight="1" x14ac:dyDescent="0.25">
      <c r="A5395"/>
    </row>
    <row r="5396" spans="1:1" ht="15" customHeight="1" x14ac:dyDescent="0.25">
      <c r="A5396"/>
    </row>
    <row r="5397" spans="1:1" ht="15" customHeight="1" x14ac:dyDescent="0.25">
      <c r="A5397"/>
    </row>
    <row r="5398" spans="1:1" ht="15" customHeight="1" x14ac:dyDescent="0.25">
      <c r="A5398"/>
    </row>
    <row r="5399" spans="1:1" ht="15" customHeight="1" x14ac:dyDescent="0.25">
      <c r="A5399"/>
    </row>
    <row r="5400" spans="1:1" ht="15" customHeight="1" x14ac:dyDescent="0.25">
      <c r="A5400"/>
    </row>
    <row r="5401" spans="1:1" ht="15" customHeight="1" x14ac:dyDescent="0.25">
      <c r="A5401"/>
    </row>
    <row r="5402" spans="1:1" ht="15" customHeight="1" x14ac:dyDescent="0.25">
      <c r="A5402"/>
    </row>
    <row r="5403" spans="1:1" ht="15" customHeight="1" x14ac:dyDescent="0.25">
      <c r="A5403"/>
    </row>
    <row r="5404" spans="1:1" ht="15" customHeight="1" x14ac:dyDescent="0.25">
      <c r="A5404"/>
    </row>
    <row r="5405" spans="1:1" ht="15" customHeight="1" x14ac:dyDescent="0.25">
      <c r="A5405"/>
    </row>
    <row r="5406" spans="1:1" ht="15" customHeight="1" x14ac:dyDescent="0.25">
      <c r="A5406"/>
    </row>
    <row r="5407" spans="1:1" ht="15" customHeight="1" x14ac:dyDescent="0.25">
      <c r="A5407"/>
    </row>
    <row r="5408" spans="1:1" ht="15" customHeight="1" x14ac:dyDescent="0.25">
      <c r="A5408"/>
    </row>
    <row r="5409" spans="1:1" ht="15" customHeight="1" x14ac:dyDescent="0.25">
      <c r="A5409"/>
    </row>
    <row r="5410" spans="1:1" ht="15" customHeight="1" x14ac:dyDescent="0.25">
      <c r="A5410"/>
    </row>
    <row r="5411" spans="1:1" ht="15" customHeight="1" x14ac:dyDescent="0.25">
      <c r="A5411"/>
    </row>
    <row r="5412" spans="1:1" ht="15" customHeight="1" x14ac:dyDescent="0.25">
      <c r="A5412"/>
    </row>
    <row r="5413" spans="1:1" ht="15" customHeight="1" x14ac:dyDescent="0.25">
      <c r="A5413"/>
    </row>
    <row r="5414" spans="1:1" ht="15" customHeight="1" x14ac:dyDescent="0.25">
      <c r="A5414"/>
    </row>
    <row r="5415" spans="1:1" ht="15" customHeight="1" x14ac:dyDescent="0.25">
      <c r="A5415"/>
    </row>
    <row r="5416" spans="1:1" ht="15" customHeight="1" x14ac:dyDescent="0.25">
      <c r="A5416"/>
    </row>
    <row r="5417" spans="1:1" ht="15" customHeight="1" x14ac:dyDescent="0.25">
      <c r="A5417"/>
    </row>
    <row r="5418" spans="1:1" ht="15" customHeight="1" x14ac:dyDescent="0.25">
      <c r="A5418"/>
    </row>
    <row r="5419" spans="1:1" ht="15" customHeight="1" x14ac:dyDescent="0.25">
      <c r="A5419"/>
    </row>
    <row r="5420" spans="1:1" ht="15" customHeight="1" x14ac:dyDescent="0.25">
      <c r="A5420"/>
    </row>
    <row r="5421" spans="1:1" ht="15" customHeight="1" x14ac:dyDescent="0.25">
      <c r="A5421"/>
    </row>
    <row r="5422" spans="1:1" ht="15" customHeight="1" x14ac:dyDescent="0.25">
      <c r="A5422"/>
    </row>
    <row r="5423" spans="1:1" ht="15" customHeight="1" x14ac:dyDescent="0.25">
      <c r="A5423"/>
    </row>
    <row r="5424" spans="1:1" ht="15" customHeight="1" x14ac:dyDescent="0.25">
      <c r="A5424"/>
    </row>
    <row r="5425" spans="1:1" ht="15" customHeight="1" x14ac:dyDescent="0.25">
      <c r="A5425"/>
    </row>
    <row r="5426" spans="1:1" ht="15" customHeight="1" x14ac:dyDescent="0.25">
      <c r="A5426"/>
    </row>
    <row r="5427" spans="1:1" ht="15" customHeight="1" x14ac:dyDescent="0.25">
      <c r="A5427"/>
    </row>
    <row r="5428" spans="1:1" ht="15" customHeight="1" x14ac:dyDescent="0.25">
      <c r="A5428"/>
    </row>
    <row r="5429" spans="1:1" ht="15" customHeight="1" x14ac:dyDescent="0.25">
      <c r="A5429"/>
    </row>
    <row r="5430" spans="1:1" ht="15" customHeight="1" x14ac:dyDescent="0.25">
      <c r="A5430"/>
    </row>
    <row r="5431" spans="1:1" ht="15" customHeight="1" x14ac:dyDescent="0.25">
      <c r="A5431"/>
    </row>
    <row r="5432" spans="1:1" ht="15" customHeight="1" x14ac:dyDescent="0.25">
      <c r="A5432"/>
    </row>
    <row r="5433" spans="1:1" ht="15" customHeight="1" x14ac:dyDescent="0.25">
      <c r="A5433"/>
    </row>
    <row r="5434" spans="1:1" ht="15" customHeight="1" x14ac:dyDescent="0.25">
      <c r="A5434"/>
    </row>
    <row r="5435" spans="1:1" ht="15" customHeight="1" x14ac:dyDescent="0.25">
      <c r="A5435"/>
    </row>
    <row r="5436" spans="1:1" ht="15" customHeight="1" x14ac:dyDescent="0.25">
      <c r="A5436"/>
    </row>
    <row r="5437" spans="1:1" ht="15" customHeight="1" x14ac:dyDescent="0.25">
      <c r="A5437"/>
    </row>
    <row r="5438" spans="1:1" ht="15" customHeight="1" x14ac:dyDescent="0.25">
      <c r="A5438"/>
    </row>
    <row r="5439" spans="1:1" ht="15" customHeight="1" x14ac:dyDescent="0.25">
      <c r="A5439"/>
    </row>
    <row r="5440" spans="1:1" ht="15" customHeight="1" x14ac:dyDescent="0.25">
      <c r="A5440"/>
    </row>
    <row r="5441" spans="1:1" ht="15" customHeight="1" x14ac:dyDescent="0.25">
      <c r="A5441"/>
    </row>
    <row r="5442" spans="1:1" ht="15" customHeight="1" x14ac:dyDescent="0.25">
      <c r="A5442"/>
    </row>
    <row r="5443" spans="1:1" ht="15" customHeight="1" x14ac:dyDescent="0.25">
      <c r="A5443"/>
    </row>
    <row r="5444" spans="1:1" ht="15" customHeight="1" x14ac:dyDescent="0.25">
      <c r="A5444"/>
    </row>
    <row r="5445" spans="1:1" ht="15" customHeight="1" x14ac:dyDescent="0.25">
      <c r="A5445"/>
    </row>
    <row r="5446" spans="1:1" ht="15" customHeight="1" x14ac:dyDescent="0.25">
      <c r="A5446"/>
    </row>
    <row r="5447" spans="1:1" ht="15" customHeight="1" x14ac:dyDescent="0.25">
      <c r="A5447"/>
    </row>
    <row r="5448" spans="1:1" ht="15" customHeight="1" x14ac:dyDescent="0.25">
      <c r="A5448"/>
    </row>
    <row r="5449" spans="1:1" ht="15" customHeight="1" x14ac:dyDescent="0.25">
      <c r="A5449"/>
    </row>
    <row r="5450" spans="1:1" ht="15" customHeight="1" x14ac:dyDescent="0.25">
      <c r="A5450"/>
    </row>
    <row r="5451" spans="1:1" ht="15" customHeight="1" x14ac:dyDescent="0.25">
      <c r="A5451"/>
    </row>
    <row r="5452" spans="1:1" ht="15" customHeight="1" x14ac:dyDescent="0.25">
      <c r="A5452"/>
    </row>
    <row r="5453" spans="1:1" ht="15" customHeight="1" x14ac:dyDescent="0.25">
      <c r="A5453"/>
    </row>
    <row r="5454" spans="1:1" ht="15" customHeight="1" x14ac:dyDescent="0.25">
      <c r="A5454"/>
    </row>
    <row r="5455" spans="1:1" ht="15" customHeight="1" x14ac:dyDescent="0.25">
      <c r="A5455"/>
    </row>
    <row r="5456" spans="1:1" ht="15" customHeight="1" x14ac:dyDescent="0.25">
      <c r="A5456"/>
    </row>
    <row r="5457" spans="1:1" ht="15" customHeight="1" x14ac:dyDescent="0.25">
      <c r="A5457"/>
    </row>
    <row r="5458" spans="1:1" ht="15" customHeight="1" x14ac:dyDescent="0.25">
      <c r="A5458"/>
    </row>
    <row r="5459" spans="1:1" ht="15" customHeight="1" x14ac:dyDescent="0.25">
      <c r="A5459"/>
    </row>
    <row r="5460" spans="1:1" ht="15" customHeight="1" x14ac:dyDescent="0.25">
      <c r="A5460"/>
    </row>
    <row r="5461" spans="1:1" ht="15" customHeight="1" x14ac:dyDescent="0.25">
      <c r="A5461"/>
    </row>
    <row r="5462" spans="1:1" ht="15" customHeight="1" x14ac:dyDescent="0.25">
      <c r="A5462"/>
    </row>
    <row r="5463" spans="1:1" ht="15" customHeight="1" x14ac:dyDescent="0.25">
      <c r="A5463"/>
    </row>
    <row r="5464" spans="1:1" ht="15" customHeight="1" x14ac:dyDescent="0.25">
      <c r="A5464"/>
    </row>
    <row r="5465" spans="1:1" ht="15" customHeight="1" x14ac:dyDescent="0.25">
      <c r="A5465"/>
    </row>
    <row r="5466" spans="1:1" ht="15" customHeight="1" x14ac:dyDescent="0.25">
      <c r="A5466"/>
    </row>
    <row r="5467" spans="1:1" ht="15" customHeight="1" x14ac:dyDescent="0.25">
      <c r="A5467"/>
    </row>
    <row r="5468" spans="1:1" ht="15" customHeight="1" x14ac:dyDescent="0.25">
      <c r="A5468"/>
    </row>
    <row r="5469" spans="1:1" ht="15" customHeight="1" x14ac:dyDescent="0.25">
      <c r="A5469"/>
    </row>
    <row r="5470" spans="1:1" ht="15" customHeight="1" x14ac:dyDescent="0.25">
      <c r="A5470"/>
    </row>
    <row r="5471" spans="1:1" ht="15" customHeight="1" x14ac:dyDescent="0.25">
      <c r="A5471"/>
    </row>
    <row r="5472" spans="1:1" ht="15" customHeight="1" x14ac:dyDescent="0.25">
      <c r="A5472"/>
    </row>
    <row r="5473" spans="1:1" ht="15" customHeight="1" x14ac:dyDescent="0.25">
      <c r="A5473"/>
    </row>
    <row r="5474" spans="1:1" ht="15" customHeight="1" x14ac:dyDescent="0.25">
      <c r="A5474"/>
    </row>
    <row r="5475" spans="1:1" ht="15" customHeight="1" x14ac:dyDescent="0.25">
      <c r="A5475"/>
    </row>
    <row r="5476" spans="1:1" ht="15" customHeight="1" x14ac:dyDescent="0.25">
      <c r="A5476"/>
    </row>
    <row r="5477" spans="1:1" ht="15" customHeight="1" x14ac:dyDescent="0.25">
      <c r="A5477"/>
    </row>
    <row r="5478" spans="1:1" ht="15" customHeight="1" x14ac:dyDescent="0.25">
      <c r="A5478"/>
    </row>
    <row r="5479" spans="1:1" ht="15" customHeight="1" x14ac:dyDescent="0.25">
      <c r="A5479"/>
    </row>
    <row r="5480" spans="1:1" ht="15" customHeight="1" x14ac:dyDescent="0.25">
      <c r="A5480"/>
    </row>
    <row r="5481" spans="1:1" ht="15" customHeight="1" x14ac:dyDescent="0.25">
      <c r="A5481"/>
    </row>
    <row r="5482" spans="1:1" ht="15" customHeight="1" x14ac:dyDescent="0.25">
      <c r="A5482"/>
    </row>
    <row r="5483" spans="1:1" ht="15" customHeight="1" x14ac:dyDescent="0.25">
      <c r="A5483"/>
    </row>
    <row r="5484" spans="1:1" ht="15" customHeight="1" x14ac:dyDescent="0.25">
      <c r="A5484"/>
    </row>
    <row r="5485" spans="1:1" ht="15" customHeight="1" x14ac:dyDescent="0.25">
      <c r="A5485"/>
    </row>
    <row r="5486" spans="1:1" ht="15" customHeight="1" x14ac:dyDescent="0.25">
      <c r="A5486"/>
    </row>
    <row r="5487" spans="1:1" ht="15" customHeight="1" x14ac:dyDescent="0.25">
      <c r="A5487"/>
    </row>
    <row r="5488" spans="1:1" ht="15" customHeight="1" x14ac:dyDescent="0.25">
      <c r="A5488"/>
    </row>
    <row r="5489" spans="1:1" ht="15" customHeight="1" x14ac:dyDescent="0.25">
      <c r="A5489"/>
    </row>
    <row r="5490" spans="1:1" ht="15" customHeight="1" x14ac:dyDescent="0.25">
      <c r="A5490"/>
    </row>
    <row r="5491" spans="1:1" ht="15" customHeight="1" x14ac:dyDescent="0.25">
      <c r="A5491"/>
    </row>
    <row r="5492" spans="1:1" ht="15" customHeight="1" x14ac:dyDescent="0.25">
      <c r="A5492"/>
    </row>
    <row r="5493" spans="1:1" ht="15" customHeight="1" x14ac:dyDescent="0.25">
      <c r="A5493"/>
    </row>
    <row r="5494" spans="1:1" ht="15" customHeight="1" x14ac:dyDescent="0.25">
      <c r="A5494"/>
    </row>
    <row r="5495" spans="1:1" ht="15" customHeight="1" x14ac:dyDescent="0.25">
      <c r="A5495"/>
    </row>
    <row r="5496" spans="1:1" ht="15" customHeight="1" x14ac:dyDescent="0.25">
      <c r="A5496"/>
    </row>
    <row r="5497" spans="1:1" ht="15" customHeight="1" x14ac:dyDescent="0.25">
      <c r="A5497"/>
    </row>
    <row r="5498" spans="1:1" ht="15" customHeight="1" x14ac:dyDescent="0.25">
      <c r="A5498"/>
    </row>
    <row r="5499" spans="1:1" ht="15" customHeight="1" x14ac:dyDescent="0.25">
      <c r="A5499"/>
    </row>
    <row r="5500" spans="1:1" ht="15" customHeight="1" x14ac:dyDescent="0.25">
      <c r="A5500"/>
    </row>
    <row r="5501" spans="1:1" ht="15" customHeight="1" x14ac:dyDescent="0.25">
      <c r="A5501"/>
    </row>
    <row r="5502" spans="1:1" ht="15" customHeight="1" x14ac:dyDescent="0.25">
      <c r="A5502"/>
    </row>
    <row r="5503" spans="1:1" ht="15" customHeight="1" x14ac:dyDescent="0.25">
      <c r="A5503"/>
    </row>
    <row r="5504" spans="1:1" ht="15" customHeight="1" x14ac:dyDescent="0.25">
      <c r="A5504"/>
    </row>
    <row r="5505" spans="1:1" ht="15" customHeight="1" x14ac:dyDescent="0.25">
      <c r="A5505"/>
    </row>
    <row r="5506" spans="1:1" ht="15" customHeight="1" x14ac:dyDescent="0.25">
      <c r="A5506"/>
    </row>
    <row r="5507" spans="1:1" ht="15" customHeight="1" x14ac:dyDescent="0.25">
      <c r="A5507"/>
    </row>
    <row r="5508" spans="1:1" ht="15" customHeight="1" x14ac:dyDescent="0.25">
      <c r="A5508"/>
    </row>
    <row r="5509" spans="1:1" ht="15" customHeight="1" x14ac:dyDescent="0.25">
      <c r="A5509"/>
    </row>
    <row r="5510" spans="1:1" ht="15" customHeight="1" x14ac:dyDescent="0.25">
      <c r="A5510"/>
    </row>
    <row r="5511" spans="1:1" ht="15" customHeight="1" x14ac:dyDescent="0.25">
      <c r="A5511"/>
    </row>
    <row r="5512" spans="1:1" ht="15" customHeight="1" x14ac:dyDescent="0.25">
      <c r="A5512"/>
    </row>
    <row r="5513" spans="1:1" ht="15" customHeight="1" x14ac:dyDescent="0.25">
      <c r="A5513"/>
    </row>
    <row r="5514" spans="1:1" ht="15" customHeight="1" x14ac:dyDescent="0.25">
      <c r="A5514"/>
    </row>
    <row r="5515" spans="1:1" ht="15" customHeight="1" x14ac:dyDescent="0.25">
      <c r="A5515"/>
    </row>
    <row r="5516" spans="1:1" ht="15" customHeight="1" x14ac:dyDescent="0.25">
      <c r="A5516"/>
    </row>
    <row r="5517" spans="1:1" ht="15" customHeight="1" x14ac:dyDescent="0.25">
      <c r="A5517"/>
    </row>
    <row r="5518" spans="1:1" ht="15" customHeight="1" x14ac:dyDescent="0.25">
      <c r="A5518"/>
    </row>
    <row r="5519" spans="1:1" ht="15" customHeight="1" x14ac:dyDescent="0.25">
      <c r="A5519"/>
    </row>
    <row r="5520" spans="1:1" ht="15" customHeight="1" x14ac:dyDescent="0.25">
      <c r="A5520"/>
    </row>
    <row r="5521" spans="1:1" ht="15" customHeight="1" x14ac:dyDescent="0.25">
      <c r="A5521"/>
    </row>
    <row r="5522" spans="1:1" ht="15" customHeight="1" x14ac:dyDescent="0.25">
      <c r="A5522"/>
    </row>
    <row r="5523" spans="1:1" ht="15" customHeight="1" x14ac:dyDescent="0.25">
      <c r="A5523"/>
    </row>
    <row r="5524" spans="1:1" ht="15" customHeight="1" x14ac:dyDescent="0.25">
      <c r="A5524"/>
    </row>
    <row r="5525" spans="1:1" ht="15" customHeight="1" x14ac:dyDescent="0.25">
      <c r="A5525"/>
    </row>
    <row r="5526" spans="1:1" ht="15" customHeight="1" x14ac:dyDescent="0.25">
      <c r="A5526"/>
    </row>
    <row r="5527" spans="1:1" ht="15" customHeight="1" x14ac:dyDescent="0.25">
      <c r="A5527"/>
    </row>
    <row r="5528" spans="1:1" ht="15" customHeight="1" x14ac:dyDescent="0.25">
      <c r="A5528"/>
    </row>
    <row r="5529" spans="1:1" ht="15" customHeight="1" x14ac:dyDescent="0.25">
      <c r="A5529"/>
    </row>
    <row r="5530" spans="1:1" ht="15" customHeight="1" x14ac:dyDescent="0.25">
      <c r="A5530"/>
    </row>
    <row r="5531" spans="1:1" ht="15" customHeight="1" x14ac:dyDescent="0.25">
      <c r="A5531"/>
    </row>
    <row r="5532" spans="1:1" ht="15" customHeight="1" x14ac:dyDescent="0.25">
      <c r="A5532"/>
    </row>
    <row r="5533" spans="1:1" ht="15" customHeight="1" x14ac:dyDescent="0.25">
      <c r="A5533"/>
    </row>
    <row r="5534" spans="1:1" ht="15" customHeight="1" x14ac:dyDescent="0.25">
      <c r="A5534"/>
    </row>
    <row r="5535" spans="1:1" ht="15" customHeight="1" x14ac:dyDescent="0.25">
      <c r="A5535"/>
    </row>
    <row r="5536" spans="1:1" ht="15" customHeight="1" x14ac:dyDescent="0.25">
      <c r="A5536"/>
    </row>
    <row r="5537" spans="1:1" ht="15" customHeight="1" x14ac:dyDescent="0.25">
      <c r="A5537"/>
    </row>
    <row r="5538" spans="1:1" ht="15" customHeight="1" x14ac:dyDescent="0.25">
      <c r="A5538"/>
    </row>
    <row r="5539" spans="1:1" ht="15" customHeight="1" x14ac:dyDescent="0.25">
      <c r="A5539"/>
    </row>
    <row r="5540" spans="1:1" ht="15" customHeight="1" x14ac:dyDescent="0.25">
      <c r="A5540"/>
    </row>
    <row r="5541" spans="1:1" ht="15" customHeight="1" x14ac:dyDescent="0.25">
      <c r="A5541"/>
    </row>
    <row r="5542" spans="1:1" ht="15" customHeight="1" x14ac:dyDescent="0.25">
      <c r="A5542"/>
    </row>
    <row r="5543" spans="1:1" ht="15" customHeight="1" x14ac:dyDescent="0.25">
      <c r="A5543"/>
    </row>
    <row r="5544" spans="1:1" ht="15" customHeight="1" x14ac:dyDescent="0.25">
      <c r="A5544"/>
    </row>
    <row r="5545" spans="1:1" ht="15" customHeight="1" x14ac:dyDescent="0.25">
      <c r="A5545"/>
    </row>
    <row r="5546" spans="1:1" ht="15" customHeight="1" x14ac:dyDescent="0.25">
      <c r="A5546"/>
    </row>
    <row r="5547" spans="1:1" ht="15" customHeight="1" x14ac:dyDescent="0.25">
      <c r="A5547"/>
    </row>
    <row r="5548" spans="1:1" ht="15" customHeight="1" x14ac:dyDescent="0.25">
      <c r="A5548"/>
    </row>
    <row r="5549" spans="1:1" ht="15" customHeight="1" x14ac:dyDescent="0.25">
      <c r="A5549"/>
    </row>
    <row r="5550" spans="1:1" ht="15" customHeight="1" x14ac:dyDescent="0.25">
      <c r="A5550"/>
    </row>
    <row r="5551" spans="1:1" ht="15" customHeight="1" x14ac:dyDescent="0.25">
      <c r="A5551"/>
    </row>
    <row r="5552" spans="1:1" ht="15" customHeight="1" x14ac:dyDescent="0.25">
      <c r="A5552"/>
    </row>
    <row r="5553" spans="1:1" ht="15" customHeight="1" x14ac:dyDescent="0.25">
      <c r="A5553"/>
    </row>
    <row r="5554" spans="1:1" ht="15" customHeight="1" x14ac:dyDescent="0.25">
      <c r="A5554"/>
    </row>
    <row r="5555" spans="1:1" ht="15" customHeight="1" x14ac:dyDescent="0.25">
      <c r="A5555"/>
    </row>
    <row r="5556" spans="1:1" ht="15" customHeight="1" x14ac:dyDescent="0.25">
      <c r="A5556"/>
    </row>
    <row r="5557" spans="1:1" ht="15" customHeight="1" x14ac:dyDescent="0.25">
      <c r="A5557"/>
    </row>
    <row r="5558" spans="1:1" ht="15" customHeight="1" x14ac:dyDescent="0.25">
      <c r="A5558"/>
    </row>
    <row r="5559" spans="1:1" ht="15" customHeight="1" x14ac:dyDescent="0.25">
      <c r="A5559"/>
    </row>
    <row r="5560" spans="1:1" ht="15" customHeight="1" x14ac:dyDescent="0.25">
      <c r="A5560"/>
    </row>
    <row r="5561" spans="1:1" ht="15" customHeight="1" x14ac:dyDescent="0.25">
      <c r="A5561"/>
    </row>
    <row r="5562" spans="1:1" ht="15" customHeight="1" x14ac:dyDescent="0.25">
      <c r="A5562"/>
    </row>
    <row r="5563" spans="1:1" ht="15" customHeight="1" x14ac:dyDescent="0.25">
      <c r="A5563"/>
    </row>
    <row r="5564" spans="1:1" ht="15" customHeight="1" x14ac:dyDescent="0.25">
      <c r="A5564"/>
    </row>
    <row r="5565" spans="1:1" ht="15" customHeight="1" x14ac:dyDescent="0.25">
      <c r="A5565"/>
    </row>
    <row r="5566" spans="1:1" ht="15" customHeight="1" x14ac:dyDescent="0.25">
      <c r="A5566"/>
    </row>
    <row r="5567" spans="1:1" ht="15" customHeight="1" x14ac:dyDescent="0.25">
      <c r="A5567"/>
    </row>
    <row r="5568" spans="1:1" ht="15" customHeight="1" x14ac:dyDescent="0.25">
      <c r="A5568"/>
    </row>
    <row r="5569" spans="1:1" ht="15" customHeight="1" x14ac:dyDescent="0.25">
      <c r="A5569"/>
    </row>
    <row r="5570" spans="1:1" ht="15" customHeight="1" x14ac:dyDescent="0.25">
      <c r="A5570"/>
    </row>
    <row r="5571" spans="1:1" ht="15" customHeight="1" x14ac:dyDescent="0.25">
      <c r="A5571"/>
    </row>
    <row r="5572" spans="1:1" ht="15" customHeight="1" x14ac:dyDescent="0.25">
      <c r="A5572"/>
    </row>
    <row r="5573" spans="1:1" ht="15" customHeight="1" x14ac:dyDescent="0.25">
      <c r="A5573"/>
    </row>
    <row r="5574" spans="1:1" ht="15" customHeight="1" x14ac:dyDescent="0.25">
      <c r="A5574"/>
    </row>
    <row r="5575" spans="1:1" ht="15" customHeight="1" x14ac:dyDescent="0.25">
      <c r="A5575"/>
    </row>
    <row r="5576" spans="1:1" ht="15" customHeight="1" x14ac:dyDescent="0.25">
      <c r="A5576"/>
    </row>
    <row r="5577" spans="1:1" ht="15" customHeight="1" x14ac:dyDescent="0.25">
      <c r="A5577"/>
    </row>
    <row r="5578" spans="1:1" ht="15" customHeight="1" x14ac:dyDescent="0.25">
      <c r="A5578"/>
    </row>
    <row r="5579" spans="1:1" ht="15" customHeight="1" x14ac:dyDescent="0.25">
      <c r="A5579"/>
    </row>
    <row r="5580" spans="1:1" ht="15" customHeight="1" x14ac:dyDescent="0.25">
      <c r="A5580"/>
    </row>
    <row r="5581" spans="1:1" ht="15" customHeight="1" x14ac:dyDescent="0.25">
      <c r="A5581"/>
    </row>
    <row r="5582" spans="1:1" ht="15" customHeight="1" x14ac:dyDescent="0.25">
      <c r="A5582"/>
    </row>
    <row r="5583" spans="1:1" ht="15" customHeight="1" x14ac:dyDescent="0.25">
      <c r="A5583"/>
    </row>
    <row r="5584" spans="1:1" ht="15" customHeight="1" x14ac:dyDescent="0.25">
      <c r="A5584"/>
    </row>
    <row r="5585" spans="1:1" ht="15" customHeight="1" x14ac:dyDescent="0.25">
      <c r="A5585"/>
    </row>
    <row r="5586" spans="1:1" ht="15" customHeight="1" x14ac:dyDescent="0.25">
      <c r="A5586"/>
    </row>
    <row r="5587" spans="1:1" ht="15" customHeight="1" x14ac:dyDescent="0.25">
      <c r="A5587"/>
    </row>
    <row r="5588" spans="1:1" ht="15" customHeight="1" x14ac:dyDescent="0.25">
      <c r="A5588"/>
    </row>
    <row r="5589" spans="1:1" ht="15" customHeight="1" x14ac:dyDescent="0.25">
      <c r="A5589"/>
    </row>
    <row r="5590" spans="1:1" ht="15" customHeight="1" x14ac:dyDescent="0.25">
      <c r="A5590"/>
    </row>
    <row r="5591" spans="1:1" ht="15" customHeight="1" x14ac:dyDescent="0.25">
      <c r="A5591"/>
    </row>
    <row r="5592" spans="1:1" ht="15" customHeight="1" x14ac:dyDescent="0.25">
      <c r="A5592"/>
    </row>
    <row r="5593" spans="1:1" ht="15" customHeight="1" x14ac:dyDescent="0.25">
      <c r="A5593"/>
    </row>
    <row r="5594" spans="1:1" ht="15" customHeight="1" x14ac:dyDescent="0.25">
      <c r="A5594"/>
    </row>
    <row r="5595" spans="1:1" ht="15" customHeight="1" x14ac:dyDescent="0.25">
      <c r="A5595"/>
    </row>
    <row r="5596" spans="1:1" ht="15" customHeight="1" x14ac:dyDescent="0.25">
      <c r="A5596"/>
    </row>
    <row r="5597" spans="1:1" ht="15" customHeight="1" x14ac:dyDescent="0.25">
      <c r="A5597"/>
    </row>
    <row r="5598" spans="1:1" ht="15" customHeight="1" x14ac:dyDescent="0.25">
      <c r="A5598"/>
    </row>
    <row r="5599" spans="1:1" ht="15" customHeight="1" x14ac:dyDescent="0.25">
      <c r="A5599"/>
    </row>
    <row r="5600" spans="1:1" ht="15" customHeight="1" x14ac:dyDescent="0.25">
      <c r="A5600"/>
    </row>
    <row r="5601" spans="1:1" ht="15" customHeight="1" x14ac:dyDescent="0.25">
      <c r="A5601"/>
    </row>
    <row r="5602" spans="1:1" ht="15" customHeight="1" x14ac:dyDescent="0.25">
      <c r="A5602"/>
    </row>
    <row r="5603" spans="1:1" ht="15" customHeight="1" x14ac:dyDescent="0.25">
      <c r="A5603"/>
    </row>
    <row r="5604" spans="1:1" ht="15" customHeight="1" x14ac:dyDescent="0.25">
      <c r="A5604"/>
    </row>
    <row r="5605" spans="1:1" ht="15" customHeight="1" x14ac:dyDescent="0.25">
      <c r="A5605"/>
    </row>
    <row r="5606" spans="1:1" ht="15" customHeight="1" x14ac:dyDescent="0.25">
      <c r="A5606"/>
    </row>
    <row r="5607" spans="1:1" ht="15" customHeight="1" x14ac:dyDescent="0.25">
      <c r="A5607"/>
    </row>
    <row r="5608" spans="1:1" ht="15" customHeight="1" x14ac:dyDescent="0.25">
      <c r="A5608"/>
    </row>
    <row r="5609" spans="1:1" ht="15" customHeight="1" x14ac:dyDescent="0.25">
      <c r="A5609"/>
    </row>
    <row r="5610" spans="1:1" ht="15" customHeight="1" x14ac:dyDescent="0.25">
      <c r="A5610"/>
    </row>
    <row r="5611" spans="1:1" ht="15" customHeight="1" x14ac:dyDescent="0.25">
      <c r="A5611"/>
    </row>
    <row r="5612" spans="1:1" ht="15" customHeight="1" x14ac:dyDescent="0.25">
      <c r="A5612"/>
    </row>
    <row r="5613" spans="1:1" ht="15" customHeight="1" x14ac:dyDescent="0.25">
      <c r="A5613"/>
    </row>
    <row r="5614" spans="1:1" ht="15" customHeight="1" x14ac:dyDescent="0.25">
      <c r="A5614"/>
    </row>
    <row r="5615" spans="1:1" ht="15" customHeight="1" x14ac:dyDescent="0.25">
      <c r="A5615"/>
    </row>
    <row r="5616" spans="1:1" ht="15" customHeight="1" x14ac:dyDescent="0.25">
      <c r="A5616"/>
    </row>
    <row r="5617" spans="1:1" ht="15" customHeight="1" x14ac:dyDescent="0.25">
      <c r="A5617"/>
    </row>
    <row r="5618" spans="1:1" ht="15" customHeight="1" x14ac:dyDescent="0.25">
      <c r="A5618"/>
    </row>
    <row r="5619" spans="1:1" ht="15" customHeight="1" x14ac:dyDescent="0.25">
      <c r="A5619"/>
    </row>
    <row r="5620" spans="1:1" ht="15" customHeight="1" x14ac:dyDescent="0.25">
      <c r="A5620"/>
    </row>
    <row r="5621" spans="1:1" ht="15" customHeight="1" x14ac:dyDescent="0.25">
      <c r="A5621"/>
    </row>
    <row r="5622" spans="1:1" ht="15" customHeight="1" x14ac:dyDescent="0.25">
      <c r="A5622"/>
    </row>
    <row r="5623" spans="1:1" ht="15" customHeight="1" x14ac:dyDescent="0.25">
      <c r="A5623"/>
    </row>
    <row r="5624" spans="1:1" ht="15" customHeight="1" x14ac:dyDescent="0.25">
      <c r="A5624"/>
    </row>
    <row r="5625" spans="1:1" ht="15" customHeight="1" x14ac:dyDescent="0.25">
      <c r="A5625"/>
    </row>
    <row r="5626" spans="1:1" ht="15" customHeight="1" x14ac:dyDescent="0.25">
      <c r="A5626"/>
    </row>
    <row r="5627" spans="1:1" ht="15" customHeight="1" x14ac:dyDescent="0.25">
      <c r="A5627"/>
    </row>
    <row r="5628" spans="1:1" ht="15" customHeight="1" x14ac:dyDescent="0.25">
      <c r="A5628"/>
    </row>
    <row r="5629" spans="1:1" ht="15" customHeight="1" x14ac:dyDescent="0.25">
      <c r="A5629"/>
    </row>
    <row r="5630" spans="1:1" ht="15" customHeight="1" x14ac:dyDescent="0.25">
      <c r="A5630"/>
    </row>
    <row r="5631" spans="1:1" ht="15" customHeight="1" x14ac:dyDescent="0.25">
      <c r="A5631"/>
    </row>
    <row r="5632" spans="1:1" ht="15" customHeight="1" x14ac:dyDescent="0.25">
      <c r="A5632"/>
    </row>
    <row r="5633" spans="1:1" ht="15" customHeight="1" x14ac:dyDescent="0.25">
      <c r="A5633"/>
    </row>
    <row r="5634" spans="1:1" ht="15" customHeight="1" x14ac:dyDescent="0.25">
      <c r="A5634"/>
    </row>
    <row r="5635" spans="1:1" ht="15" customHeight="1" x14ac:dyDescent="0.25">
      <c r="A5635"/>
    </row>
    <row r="5636" spans="1:1" ht="15" customHeight="1" x14ac:dyDescent="0.25">
      <c r="A5636"/>
    </row>
    <row r="5637" spans="1:1" ht="15" customHeight="1" x14ac:dyDescent="0.25">
      <c r="A5637"/>
    </row>
    <row r="5638" spans="1:1" ht="15" customHeight="1" x14ac:dyDescent="0.25">
      <c r="A5638"/>
    </row>
    <row r="5639" spans="1:1" ht="15" customHeight="1" x14ac:dyDescent="0.25">
      <c r="A5639"/>
    </row>
    <row r="5640" spans="1:1" ht="15" customHeight="1" x14ac:dyDescent="0.25">
      <c r="A5640"/>
    </row>
    <row r="5641" spans="1:1" ht="15" customHeight="1" x14ac:dyDescent="0.25">
      <c r="A5641"/>
    </row>
    <row r="5642" spans="1:1" ht="15" customHeight="1" x14ac:dyDescent="0.25">
      <c r="A5642"/>
    </row>
    <row r="5643" spans="1:1" ht="15" customHeight="1" x14ac:dyDescent="0.25">
      <c r="A5643"/>
    </row>
    <row r="5644" spans="1:1" ht="15" customHeight="1" x14ac:dyDescent="0.25">
      <c r="A5644"/>
    </row>
    <row r="5645" spans="1:1" ht="15" customHeight="1" x14ac:dyDescent="0.25">
      <c r="A5645"/>
    </row>
    <row r="5646" spans="1:1" ht="15" customHeight="1" x14ac:dyDescent="0.25">
      <c r="A5646"/>
    </row>
    <row r="5647" spans="1:1" ht="15" customHeight="1" x14ac:dyDescent="0.25">
      <c r="A5647"/>
    </row>
    <row r="5648" spans="1:1" ht="15" customHeight="1" x14ac:dyDescent="0.25">
      <c r="A5648"/>
    </row>
    <row r="5649" spans="1:1" ht="15" customHeight="1" x14ac:dyDescent="0.25">
      <c r="A5649"/>
    </row>
    <row r="5650" spans="1:1" ht="15" customHeight="1" x14ac:dyDescent="0.25">
      <c r="A5650"/>
    </row>
    <row r="5651" spans="1:1" ht="15" customHeight="1" x14ac:dyDescent="0.25">
      <c r="A5651"/>
    </row>
    <row r="5652" spans="1:1" ht="15" customHeight="1" x14ac:dyDescent="0.25">
      <c r="A5652"/>
    </row>
    <row r="5653" spans="1:1" ht="15" customHeight="1" x14ac:dyDescent="0.25">
      <c r="A5653"/>
    </row>
    <row r="5654" spans="1:1" ht="15" customHeight="1" x14ac:dyDescent="0.25">
      <c r="A5654"/>
    </row>
    <row r="5655" spans="1:1" ht="15" customHeight="1" x14ac:dyDescent="0.25">
      <c r="A5655"/>
    </row>
    <row r="5656" spans="1:1" ht="15" customHeight="1" x14ac:dyDescent="0.25">
      <c r="A5656"/>
    </row>
    <row r="5657" spans="1:1" ht="15" customHeight="1" x14ac:dyDescent="0.25">
      <c r="A5657"/>
    </row>
    <row r="5658" spans="1:1" ht="15" customHeight="1" x14ac:dyDescent="0.25">
      <c r="A5658"/>
    </row>
    <row r="5659" spans="1:1" ht="15" customHeight="1" x14ac:dyDescent="0.25">
      <c r="A5659"/>
    </row>
    <row r="5660" spans="1:1" ht="15" customHeight="1" x14ac:dyDescent="0.25">
      <c r="A5660"/>
    </row>
    <row r="5661" spans="1:1" ht="15" customHeight="1" x14ac:dyDescent="0.25">
      <c r="A5661"/>
    </row>
    <row r="5662" spans="1:1" ht="15" customHeight="1" x14ac:dyDescent="0.25">
      <c r="A5662"/>
    </row>
    <row r="5663" spans="1:1" ht="15" customHeight="1" x14ac:dyDescent="0.25">
      <c r="A5663"/>
    </row>
    <row r="5664" spans="1:1" ht="15" customHeight="1" x14ac:dyDescent="0.25">
      <c r="A5664"/>
    </row>
    <row r="5665" spans="1:1" ht="15" customHeight="1" x14ac:dyDescent="0.25">
      <c r="A5665"/>
    </row>
    <row r="5666" spans="1:1" ht="15" customHeight="1" x14ac:dyDescent="0.25">
      <c r="A5666"/>
    </row>
    <row r="5667" spans="1:1" ht="15" customHeight="1" x14ac:dyDescent="0.25">
      <c r="A5667"/>
    </row>
    <row r="5668" spans="1:1" ht="15" customHeight="1" x14ac:dyDescent="0.25">
      <c r="A5668"/>
    </row>
    <row r="5669" spans="1:1" ht="15" customHeight="1" x14ac:dyDescent="0.25">
      <c r="A5669"/>
    </row>
    <row r="5670" spans="1:1" ht="15" customHeight="1" x14ac:dyDescent="0.25">
      <c r="A5670"/>
    </row>
    <row r="5671" spans="1:1" ht="15" customHeight="1" x14ac:dyDescent="0.25">
      <c r="A5671"/>
    </row>
    <row r="5672" spans="1:1" ht="15" customHeight="1" x14ac:dyDescent="0.25">
      <c r="A5672"/>
    </row>
    <row r="5673" spans="1:1" ht="15" customHeight="1" x14ac:dyDescent="0.25">
      <c r="A5673"/>
    </row>
    <row r="5674" spans="1:1" ht="15" customHeight="1" x14ac:dyDescent="0.25">
      <c r="A5674"/>
    </row>
    <row r="5675" spans="1:1" ht="15" customHeight="1" x14ac:dyDescent="0.25">
      <c r="A5675"/>
    </row>
    <row r="5676" spans="1:1" ht="15" customHeight="1" x14ac:dyDescent="0.25">
      <c r="A5676"/>
    </row>
    <row r="5677" spans="1:1" ht="15" customHeight="1" x14ac:dyDescent="0.25">
      <c r="A5677"/>
    </row>
    <row r="5678" spans="1:1" ht="15" customHeight="1" x14ac:dyDescent="0.25">
      <c r="A5678"/>
    </row>
    <row r="5679" spans="1:1" ht="15" customHeight="1" x14ac:dyDescent="0.25">
      <c r="A5679"/>
    </row>
    <row r="5680" spans="1:1" ht="15" customHeight="1" x14ac:dyDescent="0.25">
      <c r="A5680"/>
    </row>
    <row r="5681" spans="1:1" ht="15" customHeight="1" x14ac:dyDescent="0.25">
      <c r="A5681"/>
    </row>
    <row r="5682" spans="1:1" ht="15" customHeight="1" x14ac:dyDescent="0.25">
      <c r="A5682"/>
    </row>
    <row r="5683" spans="1:1" ht="15" customHeight="1" x14ac:dyDescent="0.25">
      <c r="A5683"/>
    </row>
    <row r="5684" spans="1:1" ht="15" customHeight="1" x14ac:dyDescent="0.25">
      <c r="A5684"/>
    </row>
    <row r="5685" spans="1:1" ht="15" customHeight="1" x14ac:dyDescent="0.25">
      <c r="A5685"/>
    </row>
    <row r="5686" spans="1:1" ht="15" customHeight="1" x14ac:dyDescent="0.25">
      <c r="A5686"/>
    </row>
    <row r="5687" spans="1:1" ht="15" customHeight="1" x14ac:dyDescent="0.25">
      <c r="A5687"/>
    </row>
    <row r="5688" spans="1:1" ht="15" customHeight="1" x14ac:dyDescent="0.25">
      <c r="A5688"/>
    </row>
    <row r="5689" spans="1:1" ht="15" customHeight="1" x14ac:dyDescent="0.25">
      <c r="A5689"/>
    </row>
    <row r="5690" spans="1:1" ht="15" customHeight="1" x14ac:dyDescent="0.25">
      <c r="A5690"/>
    </row>
    <row r="5691" spans="1:1" ht="15" customHeight="1" x14ac:dyDescent="0.25">
      <c r="A5691"/>
    </row>
    <row r="5692" spans="1:1" ht="15" customHeight="1" x14ac:dyDescent="0.25">
      <c r="A5692"/>
    </row>
    <row r="5693" spans="1:1" ht="15" customHeight="1" x14ac:dyDescent="0.25">
      <c r="A5693"/>
    </row>
    <row r="5694" spans="1:1" ht="15" customHeight="1" x14ac:dyDescent="0.25">
      <c r="A5694"/>
    </row>
    <row r="5695" spans="1:1" ht="15" customHeight="1" x14ac:dyDescent="0.25">
      <c r="A5695"/>
    </row>
    <row r="5696" spans="1:1" ht="15" customHeight="1" x14ac:dyDescent="0.25">
      <c r="A5696"/>
    </row>
    <row r="5697" spans="1:1" ht="15" customHeight="1" x14ac:dyDescent="0.25">
      <c r="A5697"/>
    </row>
    <row r="5698" spans="1:1" ht="15" customHeight="1" x14ac:dyDescent="0.25">
      <c r="A5698"/>
    </row>
    <row r="5699" spans="1:1" ht="15" customHeight="1" x14ac:dyDescent="0.25">
      <c r="A5699"/>
    </row>
    <row r="5700" spans="1:1" ht="15" customHeight="1" x14ac:dyDescent="0.25">
      <c r="A5700"/>
    </row>
    <row r="5701" spans="1:1" ht="15" customHeight="1" x14ac:dyDescent="0.25">
      <c r="A5701"/>
    </row>
    <row r="5702" spans="1:1" ht="15" customHeight="1" x14ac:dyDescent="0.25">
      <c r="A5702"/>
    </row>
    <row r="5703" spans="1:1" ht="15" customHeight="1" x14ac:dyDescent="0.25">
      <c r="A5703"/>
    </row>
    <row r="5704" spans="1:1" ht="15" customHeight="1" x14ac:dyDescent="0.25">
      <c r="A5704"/>
    </row>
    <row r="5705" spans="1:1" ht="15" customHeight="1" x14ac:dyDescent="0.25">
      <c r="A5705"/>
    </row>
    <row r="5706" spans="1:1" ht="15" customHeight="1" x14ac:dyDescent="0.25">
      <c r="A5706"/>
    </row>
    <row r="5707" spans="1:1" ht="15" customHeight="1" x14ac:dyDescent="0.25">
      <c r="A5707"/>
    </row>
    <row r="5708" spans="1:1" ht="15" customHeight="1" x14ac:dyDescent="0.25">
      <c r="A5708"/>
    </row>
    <row r="5709" spans="1:1" ht="15" customHeight="1" x14ac:dyDescent="0.25">
      <c r="A5709"/>
    </row>
    <row r="5710" spans="1:1" ht="15" customHeight="1" x14ac:dyDescent="0.25">
      <c r="A5710"/>
    </row>
    <row r="5711" spans="1:1" ht="15" customHeight="1" x14ac:dyDescent="0.25">
      <c r="A5711"/>
    </row>
    <row r="5712" spans="1:1" ht="15" customHeight="1" x14ac:dyDescent="0.25">
      <c r="A5712"/>
    </row>
    <row r="5713" spans="1:1" ht="15" customHeight="1" x14ac:dyDescent="0.25">
      <c r="A5713"/>
    </row>
    <row r="5714" spans="1:1" ht="15" customHeight="1" x14ac:dyDescent="0.25">
      <c r="A5714"/>
    </row>
    <row r="5715" spans="1:1" ht="15" customHeight="1" x14ac:dyDescent="0.25">
      <c r="A5715"/>
    </row>
    <row r="5716" spans="1:1" ht="15" customHeight="1" x14ac:dyDescent="0.25">
      <c r="A5716"/>
    </row>
    <row r="5717" spans="1:1" ht="15" customHeight="1" x14ac:dyDescent="0.25">
      <c r="A5717"/>
    </row>
    <row r="5718" spans="1:1" ht="15" customHeight="1" x14ac:dyDescent="0.25">
      <c r="A5718"/>
    </row>
    <row r="5719" spans="1:1" ht="15" customHeight="1" x14ac:dyDescent="0.25">
      <c r="A5719"/>
    </row>
    <row r="5720" spans="1:1" ht="15" customHeight="1" x14ac:dyDescent="0.25">
      <c r="A5720"/>
    </row>
    <row r="5721" spans="1:1" ht="15" customHeight="1" x14ac:dyDescent="0.25">
      <c r="A5721"/>
    </row>
    <row r="5722" spans="1:1" ht="15" customHeight="1" x14ac:dyDescent="0.25">
      <c r="A5722"/>
    </row>
    <row r="5723" spans="1:1" ht="15" customHeight="1" x14ac:dyDescent="0.25">
      <c r="A5723"/>
    </row>
    <row r="5724" spans="1:1" ht="15" customHeight="1" x14ac:dyDescent="0.25">
      <c r="A5724"/>
    </row>
    <row r="5725" spans="1:1" ht="15" customHeight="1" x14ac:dyDescent="0.25">
      <c r="A5725"/>
    </row>
    <row r="5726" spans="1:1" ht="15" customHeight="1" x14ac:dyDescent="0.25">
      <c r="A5726"/>
    </row>
    <row r="5727" spans="1:1" ht="15" customHeight="1" x14ac:dyDescent="0.25">
      <c r="A5727"/>
    </row>
    <row r="5728" spans="1:1" ht="15" customHeight="1" x14ac:dyDescent="0.25">
      <c r="A5728"/>
    </row>
    <row r="5729" spans="1:1" ht="15" customHeight="1" x14ac:dyDescent="0.25">
      <c r="A5729"/>
    </row>
    <row r="5730" spans="1:1" ht="15" customHeight="1" x14ac:dyDescent="0.25">
      <c r="A5730"/>
    </row>
    <row r="5731" spans="1:1" ht="15" customHeight="1" x14ac:dyDescent="0.25">
      <c r="A5731"/>
    </row>
    <row r="5732" spans="1:1" ht="15" customHeight="1" x14ac:dyDescent="0.25">
      <c r="A5732"/>
    </row>
    <row r="5733" spans="1:1" ht="15" customHeight="1" x14ac:dyDescent="0.25">
      <c r="A5733"/>
    </row>
    <row r="5734" spans="1:1" ht="15" customHeight="1" x14ac:dyDescent="0.25">
      <c r="A5734"/>
    </row>
    <row r="5735" spans="1:1" ht="15" customHeight="1" x14ac:dyDescent="0.25">
      <c r="A5735"/>
    </row>
    <row r="5736" spans="1:1" ht="15" customHeight="1" x14ac:dyDescent="0.25">
      <c r="A5736"/>
    </row>
    <row r="5737" spans="1:1" ht="15" customHeight="1" x14ac:dyDescent="0.25">
      <c r="A5737"/>
    </row>
    <row r="5738" spans="1:1" ht="15" customHeight="1" x14ac:dyDescent="0.25">
      <c r="A5738"/>
    </row>
    <row r="5739" spans="1:1" ht="15" customHeight="1" x14ac:dyDescent="0.25">
      <c r="A5739"/>
    </row>
    <row r="5740" spans="1:1" ht="15" customHeight="1" x14ac:dyDescent="0.25">
      <c r="A5740"/>
    </row>
    <row r="5741" spans="1:1" ht="15" customHeight="1" x14ac:dyDescent="0.25">
      <c r="A5741"/>
    </row>
    <row r="5742" spans="1:1" ht="15" customHeight="1" x14ac:dyDescent="0.25">
      <c r="A5742"/>
    </row>
    <row r="5743" spans="1:1" ht="15" customHeight="1" x14ac:dyDescent="0.25">
      <c r="A5743"/>
    </row>
    <row r="5744" spans="1:1" ht="15" customHeight="1" x14ac:dyDescent="0.25">
      <c r="A5744"/>
    </row>
    <row r="5745" spans="1:1" ht="15" customHeight="1" x14ac:dyDescent="0.25">
      <c r="A5745"/>
    </row>
    <row r="5746" spans="1:1" ht="15" customHeight="1" x14ac:dyDescent="0.25">
      <c r="A5746"/>
    </row>
    <row r="5747" spans="1:1" ht="15" customHeight="1" x14ac:dyDescent="0.25">
      <c r="A5747"/>
    </row>
    <row r="5748" spans="1:1" ht="15" customHeight="1" x14ac:dyDescent="0.25">
      <c r="A5748"/>
    </row>
    <row r="5749" spans="1:1" ht="15" customHeight="1" x14ac:dyDescent="0.25">
      <c r="A5749"/>
    </row>
    <row r="5750" spans="1:1" ht="15" customHeight="1" x14ac:dyDescent="0.25">
      <c r="A5750"/>
    </row>
    <row r="5751" spans="1:1" ht="15" customHeight="1" x14ac:dyDescent="0.25">
      <c r="A5751"/>
    </row>
    <row r="5752" spans="1:1" ht="15" customHeight="1" x14ac:dyDescent="0.25">
      <c r="A5752"/>
    </row>
    <row r="5753" spans="1:1" ht="15" customHeight="1" x14ac:dyDescent="0.25">
      <c r="A5753"/>
    </row>
    <row r="5754" spans="1:1" ht="15" customHeight="1" x14ac:dyDescent="0.25">
      <c r="A5754"/>
    </row>
    <row r="5755" spans="1:1" ht="15" customHeight="1" x14ac:dyDescent="0.25">
      <c r="A5755"/>
    </row>
    <row r="5756" spans="1:1" ht="15" customHeight="1" x14ac:dyDescent="0.25">
      <c r="A5756"/>
    </row>
    <row r="5757" spans="1:1" ht="15" customHeight="1" x14ac:dyDescent="0.25">
      <c r="A5757"/>
    </row>
    <row r="5758" spans="1:1" ht="15" customHeight="1" x14ac:dyDescent="0.25">
      <c r="A5758"/>
    </row>
    <row r="5759" spans="1:1" ht="15" customHeight="1" x14ac:dyDescent="0.25">
      <c r="A5759"/>
    </row>
    <row r="5760" spans="1:1" ht="15" customHeight="1" x14ac:dyDescent="0.25">
      <c r="A5760"/>
    </row>
    <row r="5761" spans="1:1" ht="15" customHeight="1" x14ac:dyDescent="0.25">
      <c r="A5761"/>
    </row>
    <row r="5762" spans="1:1" ht="15" customHeight="1" x14ac:dyDescent="0.25">
      <c r="A5762"/>
    </row>
    <row r="5763" spans="1:1" ht="15" customHeight="1" x14ac:dyDescent="0.25">
      <c r="A5763"/>
    </row>
    <row r="5764" spans="1:1" ht="15" customHeight="1" x14ac:dyDescent="0.25">
      <c r="A5764"/>
    </row>
    <row r="5765" spans="1:1" ht="15" customHeight="1" x14ac:dyDescent="0.25">
      <c r="A5765"/>
    </row>
    <row r="5766" spans="1:1" ht="15" customHeight="1" x14ac:dyDescent="0.25">
      <c r="A5766"/>
    </row>
    <row r="5767" spans="1:1" ht="15" customHeight="1" x14ac:dyDescent="0.25">
      <c r="A5767"/>
    </row>
    <row r="5768" spans="1:1" ht="15" customHeight="1" x14ac:dyDescent="0.25">
      <c r="A5768"/>
    </row>
    <row r="5769" spans="1:1" ht="15" customHeight="1" x14ac:dyDescent="0.25">
      <c r="A5769"/>
    </row>
    <row r="5770" spans="1:1" ht="15" customHeight="1" x14ac:dyDescent="0.25">
      <c r="A5770"/>
    </row>
    <row r="5771" spans="1:1" ht="15" customHeight="1" x14ac:dyDescent="0.25">
      <c r="A5771"/>
    </row>
    <row r="5772" spans="1:1" ht="15" customHeight="1" x14ac:dyDescent="0.25">
      <c r="A5772"/>
    </row>
    <row r="5773" spans="1:1" ht="15" customHeight="1" x14ac:dyDescent="0.25">
      <c r="A5773"/>
    </row>
    <row r="5774" spans="1:1" ht="15" customHeight="1" x14ac:dyDescent="0.25">
      <c r="A5774"/>
    </row>
    <row r="5775" spans="1:1" ht="15" customHeight="1" x14ac:dyDescent="0.25">
      <c r="A5775"/>
    </row>
    <row r="5776" spans="1:1" ht="15" customHeight="1" x14ac:dyDescent="0.25">
      <c r="A5776"/>
    </row>
    <row r="5777" spans="1:1" ht="15" customHeight="1" x14ac:dyDescent="0.25">
      <c r="A5777"/>
    </row>
    <row r="5778" spans="1:1" ht="15" customHeight="1" x14ac:dyDescent="0.25">
      <c r="A5778"/>
    </row>
    <row r="5779" spans="1:1" ht="15" customHeight="1" x14ac:dyDescent="0.25">
      <c r="A5779"/>
    </row>
    <row r="5780" spans="1:1" ht="15" customHeight="1" x14ac:dyDescent="0.25">
      <c r="A5780"/>
    </row>
    <row r="5781" spans="1:1" ht="15" customHeight="1" x14ac:dyDescent="0.25">
      <c r="A5781"/>
    </row>
    <row r="5782" spans="1:1" ht="15" customHeight="1" x14ac:dyDescent="0.25">
      <c r="A5782"/>
    </row>
    <row r="5783" spans="1:1" ht="15" customHeight="1" x14ac:dyDescent="0.25">
      <c r="A5783"/>
    </row>
    <row r="5784" spans="1:1" ht="15" customHeight="1" x14ac:dyDescent="0.25">
      <c r="A5784"/>
    </row>
    <row r="5785" spans="1:1" ht="15" customHeight="1" x14ac:dyDescent="0.25">
      <c r="A5785"/>
    </row>
    <row r="5786" spans="1:1" ht="15" customHeight="1" x14ac:dyDescent="0.25">
      <c r="A5786"/>
    </row>
    <row r="5787" spans="1:1" ht="15" customHeight="1" x14ac:dyDescent="0.25">
      <c r="A5787"/>
    </row>
    <row r="5788" spans="1:1" ht="15" customHeight="1" x14ac:dyDescent="0.25">
      <c r="A5788"/>
    </row>
    <row r="5789" spans="1:1" ht="15" customHeight="1" x14ac:dyDescent="0.25">
      <c r="A5789"/>
    </row>
    <row r="5790" spans="1:1" ht="15" customHeight="1" x14ac:dyDescent="0.25">
      <c r="A5790"/>
    </row>
    <row r="5791" spans="1:1" ht="15" customHeight="1" x14ac:dyDescent="0.25">
      <c r="A5791"/>
    </row>
    <row r="5792" spans="1:1" ht="15" customHeight="1" x14ac:dyDescent="0.25">
      <c r="A5792"/>
    </row>
    <row r="5793" spans="1:1" ht="15" customHeight="1" x14ac:dyDescent="0.25">
      <c r="A5793"/>
    </row>
    <row r="5794" spans="1:1" ht="15" customHeight="1" x14ac:dyDescent="0.25">
      <c r="A5794"/>
    </row>
    <row r="5795" spans="1:1" ht="15" customHeight="1" x14ac:dyDescent="0.25">
      <c r="A5795"/>
    </row>
    <row r="5796" spans="1:1" ht="15" customHeight="1" x14ac:dyDescent="0.25">
      <c r="A5796"/>
    </row>
    <row r="5797" spans="1:1" ht="15" customHeight="1" x14ac:dyDescent="0.25">
      <c r="A5797"/>
    </row>
    <row r="5798" spans="1:1" ht="15" customHeight="1" x14ac:dyDescent="0.25">
      <c r="A5798"/>
    </row>
    <row r="5799" spans="1:1" ht="15" customHeight="1" x14ac:dyDescent="0.25">
      <c r="A5799"/>
    </row>
    <row r="5800" spans="1:1" ht="15" customHeight="1" x14ac:dyDescent="0.25">
      <c r="A5800"/>
    </row>
    <row r="5801" spans="1:1" ht="15" customHeight="1" x14ac:dyDescent="0.25">
      <c r="A5801"/>
    </row>
    <row r="5802" spans="1:1" ht="15" customHeight="1" x14ac:dyDescent="0.25">
      <c r="A5802"/>
    </row>
    <row r="5803" spans="1:1" ht="15" customHeight="1" x14ac:dyDescent="0.25">
      <c r="A5803"/>
    </row>
    <row r="5804" spans="1:1" ht="15" customHeight="1" x14ac:dyDescent="0.25">
      <c r="A5804"/>
    </row>
    <row r="5805" spans="1:1" ht="15" customHeight="1" x14ac:dyDescent="0.25">
      <c r="A5805"/>
    </row>
    <row r="5806" spans="1:1" ht="15" customHeight="1" x14ac:dyDescent="0.25">
      <c r="A5806"/>
    </row>
    <row r="5807" spans="1:1" ht="15" customHeight="1" x14ac:dyDescent="0.25">
      <c r="A5807"/>
    </row>
    <row r="5808" spans="1:1" ht="15" customHeight="1" x14ac:dyDescent="0.25">
      <c r="A5808"/>
    </row>
    <row r="5809" spans="1:1" ht="15" customHeight="1" x14ac:dyDescent="0.25">
      <c r="A5809"/>
    </row>
    <row r="5810" spans="1:1" ht="15" customHeight="1" x14ac:dyDescent="0.25">
      <c r="A5810"/>
    </row>
    <row r="5811" spans="1:1" ht="15" customHeight="1" x14ac:dyDescent="0.25">
      <c r="A5811"/>
    </row>
    <row r="5812" spans="1:1" ht="15" customHeight="1" x14ac:dyDescent="0.25">
      <c r="A5812"/>
    </row>
    <row r="5813" spans="1:1" ht="15" customHeight="1" x14ac:dyDescent="0.25">
      <c r="A5813"/>
    </row>
    <row r="5814" spans="1:1" ht="15" customHeight="1" x14ac:dyDescent="0.25">
      <c r="A5814"/>
    </row>
    <row r="5815" spans="1:1" ht="15" customHeight="1" x14ac:dyDescent="0.25">
      <c r="A5815"/>
    </row>
    <row r="5816" spans="1:1" ht="15" customHeight="1" x14ac:dyDescent="0.25">
      <c r="A5816"/>
    </row>
    <row r="5817" spans="1:1" ht="15" customHeight="1" x14ac:dyDescent="0.25">
      <c r="A5817"/>
    </row>
    <row r="5818" spans="1:1" ht="15" customHeight="1" x14ac:dyDescent="0.25">
      <c r="A5818"/>
    </row>
    <row r="5819" spans="1:1" ht="15" customHeight="1" x14ac:dyDescent="0.25">
      <c r="A5819"/>
    </row>
    <row r="5820" spans="1:1" ht="15" customHeight="1" x14ac:dyDescent="0.25">
      <c r="A5820"/>
    </row>
    <row r="5821" spans="1:1" ht="15" customHeight="1" x14ac:dyDescent="0.25">
      <c r="A5821"/>
    </row>
    <row r="5822" spans="1:1" ht="15" customHeight="1" x14ac:dyDescent="0.25">
      <c r="A5822"/>
    </row>
    <row r="5823" spans="1:1" ht="15" customHeight="1" x14ac:dyDescent="0.25">
      <c r="A5823"/>
    </row>
    <row r="5824" spans="1:1" ht="15" customHeight="1" x14ac:dyDescent="0.25">
      <c r="A5824"/>
    </row>
    <row r="5825" spans="1:1" ht="15" customHeight="1" x14ac:dyDescent="0.25">
      <c r="A5825"/>
    </row>
    <row r="5826" spans="1:1" ht="15" customHeight="1" x14ac:dyDescent="0.25">
      <c r="A5826"/>
    </row>
    <row r="5827" spans="1:1" ht="15" customHeight="1" x14ac:dyDescent="0.25">
      <c r="A5827"/>
    </row>
    <row r="5828" spans="1:1" ht="15" customHeight="1" x14ac:dyDescent="0.25">
      <c r="A5828"/>
    </row>
    <row r="5829" spans="1:1" ht="15" customHeight="1" x14ac:dyDescent="0.25">
      <c r="A5829"/>
    </row>
    <row r="5830" spans="1:1" ht="15" customHeight="1" x14ac:dyDescent="0.25">
      <c r="A5830"/>
    </row>
    <row r="5831" spans="1:1" ht="15" customHeight="1" x14ac:dyDescent="0.25">
      <c r="A5831"/>
    </row>
    <row r="5832" spans="1:1" ht="15" customHeight="1" x14ac:dyDescent="0.25">
      <c r="A5832"/>
    </row>
    <row r="5833" spans="1:1" ht="15" customHeight="1" x14ac:dyDescent="0.25">
      <c r="A5833"/>
    </row>
    <row r="5834" spans="1:1" ht="15" customHeight="1" x14ac:dyDescent="0.25">
      <c r="A5834"/>
    </row>
    <row r="5835" spans="1:1" ht="15" customHeight="1" x14ac:dyDescent="0.25">
      <c r="A5835"/>
    </row>
    <row r="5836" spans="1:1" ht="15" customHeight="1" x14ac:dyDescent="0.25">
      <c r="A5836"/>
    </row>
    <row r="5837" spans="1:1" ht="15" customHeight="1" x14ac:dyDescent="0.25">
      <c r="A5837"/>
    </row>
    <row r="5838" spans="1:1" ht="15" customHeight="1" x14ac:dyDescent="0.25">
      <c r="A5838"/>
    </row>
    <row r="5839" spans="1:1" ht="15" customHeight="1" x14ac:dyDescent="0.25">
      <c r="A5839"/>
    </row>
    <row r="5840" spans="1:1" ht="15" customHeight="1" x14ac:dyDescent="0.25">
      <c r="A5840"/>
    </row>
    <row r="5841" spans="1:1" ht="15" customHeight="1" x14ac:dyDescent="0.25">
      <c r="A5841"/>
    </row>
    <row r="5842" spans="1:1" ht="15" customHeight="1" x14ac:dyDescent="0.25">
      <c r="A5842"/>
    </row>
    <row r="5843" spans="1:1" ht="15" customHeight="1" x14ac:dyDescent="0.25">
      <c r="A5843"/>
    </row>
    <row r="5844" spans="1:1" ht="15" customHeight="1" x14ac:dyDescent="0.25">
      <c r="A5844"/>
    </row>
    <row r="5845" spans="1:1" ht="15" customHeight="1" x14ac:dyDescent="0.25">
      <c r="A5845"/>
    </row>
    <row r="5846" spans="1:1" ht="15" customHeight="1" x14ac:dyDescent="0.25">
      <c r="A5846"/>
    </row>
    <row r="5847" spans="1:1" ht="15" customHeight="1" x14ac:dyDescent="0.25">
      <c r="A5847"/>
    </row>
    <row r="5848" spans="1:1" ht="15" customHeight="1" x14ac:dyDescent="0.25">
      <c r="A5848"/>
    </row>
    <row r="5849" spans="1:1" ht="15" customHeight="1" x14ac:dyDescent="0.25">
      <c r="A5849"/>
    </row>
    <row r="5850" spans="1:1" ht="15" customHeight="1" x14ac:dyDescent="0.25">
      <c r="A5850"/>
    </row>
    <row r="5851" spans="1:1" ht="15" customHeight="1" x14ac:dyDescent="0.25">
      <c r="A5851"/>
    </row>
    <row r="5852" spans="1:1" ht="15" customHeight="1" x14ac:dyDescent="0.25">
      <c r="A5852"/>
    </row>
    <row r="5853" spans="1:1" ht="15" customHeight="1" x14ac:dyDescent="0.25">
      <c r="A5853"/>
    </row>
    <row r="5854" spans="1:1" ht="15" customHeight="1" x14ac:dyDescent="0.25">
      <c r="A5854"/>
    </row>
    <row r="5855" spans="1:1" ht="15" customHeight="1" x14ac:dyDescent="0.25">
      <c r="A5855"/>
    </row>
    <row r="5856" spans="1:1" ht="15" customHeight="1" x14ac:dyDescent="0.25">
      <c r="A5856"/>
    </row>
    <row r="5857" spans="1:1" ht="15" customHeight="1" x14ac:dyDescent="0.25">
      <c r="A5857"/>
    </row>
    <row r="5858" spans="1:1" ht="15" customHeight="1" x14ac:dyDescent="0.25">
      <c r="A5858"/>
    </row>
    <row r="5859" spans="1:1" ht="15" customHeight="1" x14ac:dyDescent="0.25">
      <c r="A5859"/>
    </row>
    <row r="5860" spans="1:1" ht="15" customHeight="1" x14ac:dyDescent="0.25">
      <c r="A5860"/>
    </row>
    <row r="5861" spans="1:1" ht="15" customHeight="1" x14ac:dyDescent="0.25">
      <c r="A5861"/>
    </row>
    <row r="5862" spans="1:1" ht="15" customHeight="1" x14ac:dyDescent="0.25">
      <c r="A5862"/>
    </row>
    <row r="5863" spans="1:1" ht="15" customHeight="1" x14ac:dyDescent="0.25">
      <c r="A5863"/>
    </row>
    <row r="5864" spans="1:1" ht="15" customHeight="1" x14ac:dyDescent="0.25">
      <c r="A5864"/>
    </row>
    <row r="5865" spans="1:1" ht="15" customHeight="1" x14ac:dyDescent="0.25">
      <c r="A5865"/>
    </row>
    <row r="5866" spans="1:1" ht="15" customHeight="1" x14ac:dyDescent="0.25">
      <c r="A5866"/>
    </row>
    <row r="5867" spans="1:1" ht="15" customHeight="1" x14ac:dyDescent="0.25">
      <c r="A5867"/>
    </row>
    <row r="5868" spans="1:1" ht="15" customHeight="1" x14ac:dyDescent="0.25">
      <c r="A5868"/>
    </row>
    <row r="5869" spans="1:1" ht="15" customHeight="1" x14ac:dyDescent="0.25">
      <c r="A5869"/>
    </row>
    <row r="5870" spans="1:1" ht="15" customHeight="1" x14ac:dyDescent="0.25">
      <c r="A5870"/>
    </row>
    <row r="5871" spans="1:1" ht="15" customHeight="1" x14ac:dyDescent="0.25">
      <c r="A5871"/>
    </row>
    <row r="5872" spans="1:1" ht="15" customHeight="1" x14ac:dyDescent="0.25">
      <c r="A5872"/>
    </row>
    <row r="5873" spans="1:1" ht="15" customHeight="1" x14ac:dyDescent="0.25">
      <c r="A5873"/>
    </row>
    <row r="5874" spans="1:1" ht="15" customHeight="1" x14ac:dyDescent="0.25">
      <c r="A5874"/>
    </row>
    <row r="5875" spans="1:1" ht="15" customHeight="1" x14ac:dyDescent="0.25">
      <c r="A5875"/>
    </row>
    <row r="5876" spans="1:1" ht="15" customHeight="1" x14ac:dyDescent="0.25">
      <c r="A5876"/>
    </row>
    <row r="5877" spans="1:1" ht="15" customHeight="1" x14ac:dyDescent="0.25">
      <c r="A5877"/>
    </row>
    <row r="5878" spans="1:1" ht="15" customHeight="1" x14ac:dyDescent="0.25">
      <c r="A5878"/>
    </row>
    <row r="5879" spans="1:1" ht="15" customHeight="1" x14ac:dyDescent="0.25">
      <c r="A5879"/>
    </row>
    <row r="5880" spans="1:1" ht="15" customHeight="1" x14ac:dyDescent="0.25">
      <c r="A5880"/>
    </row>
    <row r="5881" spans="1:1" ht="15" customHeight="1" x14ac:dyDescent="0.25">
      <c r="A5881"/>
    </row>
    <row r="5882" spans="1:1" ht="15" customHeight="1" x14ac:dyDescent="0.25">
      <c r="A5882"/>
    </row>
    <row r="5883" spans="1:1" ht="15" customHeight="1" x14ac:dyDescent="0.25">
      <c r="A5883"/>
    </row>
    <row r="5884" spans="1:1" ht="15" customHeight="1" x14ac:dyDescent="0.25">
      <c r="A5884"/>
    </row>
    <row r="5885" spans="1:1" ht="15" customHeight="1" x14ac:dyDescent="0.25">
      <c r="A5885"/>
    </row>
    <row r="5886" spans="1:1" ht="15" customHeight="1" x14ac:dyDescent="0.25">
      <c r="A5886"/>
    </row>
    <row r="5887" spans="1:1" ht="15" customHeight="1" x14ac:dyDescent="0.25">
      <c r="A5887"/>
    </row>
    <row r="5888" spans="1:1" ht="15" customHeight="1" x14ac:dyDescent="0.25">
      <c r="A5888"/>
    </row>
    <row r="5889" spans="1:1" ht="15" customHeight="1" x14ac:dyDescent="0.25">
      <c r="A5889"/>
    </row>
    <row r="5890" spans="1:1" ht="15" customHeight="1" x14ac:dyDescent="0.25">
      <c r="A5890"/>
    </row>
    <row r="5891" spans="1:1" ht="15" customHeight="1" x14ac:dyDescent="0.25">
      <c r="A5891"/>
    </row>
    <row r="5892" spans="1:1" ht="15" customHeight="1" x14ac:dyDescent="0.25">
      <c r="A5892"/>
    </row>
    <row r="5893" spans="1:1" ht="15" customHeight="1" x14ac:dyDescent="0.25">
      <c r="A5893"/>
    </row>
    <row r="5894" spans="1:1" ht="15" customHeight="1" x14ac:dyDescent="0.25">
      <c r="A5894"/>
    </row>
    <row r="5895" spans="1:1" ht="15" customHeight="1" x14ac:dyDescent="0.25">
      <c r="A5895"/>
    </row>
    <row r="5896" spans="1:1" ht="15" customHeight="1" x14ac:dyDescent="0.25">
      <c r="A5896"/>
    </row>
    <row r="5897" spans="1:1" ht="15" customHeight="1" x14ac:dyDescent="0.25">
      <c r="A5897"/>
    </row>
    <row r="5898" spans="1:1" ht="15" customHeight="1" x14ac:dyDescent="0.25">
      <c r="A5898"/>
    </row>
    <row r="5899" spans="1:1" ht="15" customHeight="1" x14ac:dyDescent="0.25">
      <c r="A5899"/>
    </row>
    <row r="5900" spans="1:1" ht="15" customHeight="1" x14ac:dyDescent="0.25">
      <c r="A5900"/>
    </row>
    <row r="5901" spans="1:1" ht="15" customHeight="1" x14ac:dyDescent="0.25">
      <c r="A5901"/>
    </row>
    <row r="5902" spans="1:1" ht="15" customHeight="1" x14ac:dyDescent="0.25">
      <c r="A5902"/>
    </row>
    <row r="5903" spans="1:1" ht="15" customHeight="1" x14ac:dyDescent="0.25">
      <c r="A5903"/>
    </row>
    <row r="5904" spans="1:1" ht="15" customHeight="1" x14ac:dyDescent="0.25">
      <c r="A5904"/>
    </row>
    <row r="5905" spans="1:1" ht="15" customHeight="1" x14ac:dyDescent="0.25">
      <c r="A5905"/>
    </row>
    <row r="5906" spans="1:1" ht="15" customHeight="1" x14ac:dyDescent="0.25">
      <c r="A5906"/>
    </row>
    <row r="5907" spans="1:1" ht="15" customHeight="1" x14ac:dyDescent="0.25">
      <c r="A5907"/>
    </row>
    <row r="5908" spans="1:1" ht="15" customHeight="1" x14ac:dyDescent="0.25">
      <c r="A5908"/>
    </row>
    <row r="5909" spans="1:1" ht="15" customHeight="1" x14ac:dyDescent="0.25">
      <c r="A5909"/>
    </row>
    <row r="5910" spans="1:1" ht="15" customHeight="1" x14ac:dyDescent="0.25">
      <c r="A5910"/>
    </row>
    <row r="5911" spans="1:1" ht="15" customHeight="1" x14ac:dyDescent="0.25">
      <c r="A5911"/>
    </row>
    <row r="5912" spans="1:1" ht="15" customHeight="1" x14ac:dyDescent="0.25">
      <c r="A5912"/>
    </row>
    <row r="5913" spans="1:1" ht="15" customHeight="1" x14ac:dyDescent="0.25">
      <c r="A5913"/>
    </row>
    <row r="5914" spans="1:1" ht="15" customHeight="1" x14ac:dyDescent="0.25">
      <c r="A5914"/>
    </row>
    <row r="5915" spans="1:1" ht="15" customHeight="1" x14ac:dyDescent="0.25">
      <c r="A5915"/>
    </row>
    <row r="5916" spans="1:1" ht="15" customHeight="1" x14ac:dyDescent="0.25">
      <c r="A5916"/>
    </row>
    <row r="5917" spans="1:1" ht="15" customHeight="1" x14ac:dyDescent="0.25">
      <c r="A5917"/>
    </row>
    <row r="5918" spans="1:1" ht="15" customHeight="1" x14ac:dyDescent="0.25">
      <c r="A5918"/>
    </row>
    <row r="5919" spans="1:1" ht="15" customHeight="1" x14ac:dyDescent="0.25">
      <c r="A5919"/>
    </row>
    <row r="5920" spans="1:1" ht="15" customHeight="1" x14ac:dyDescent="0.25">
      <c r="A5920"/>
    </row>
    <row r="5921" spans="1:1" ht="15" customHeight="1" x14ac:dyDescent="0.25">
      <c r="A5921"/>
    </row>
    <row r="5922" spans="1:1" ht="15" customHeight="1" x14ac:dyDescent="0.25">
      <c r="A5922"/>
    </row>
    <row r="5923" spans="1:1" ht="15" customHeight="1" x14ac:dyDescent="0.25">
      <c r="A5923"/>
    </row>
    <row r="5924" spans="1:1" ht="15" customHeight="1" x14ac:dyDescent="0.25">
      <c r="A5924"/>
    </row>
    <row r="5925" spans="1:1" ht="15" customHeight="1" x14ac:dyDescent="0.25">
      <c r="A5925"/>
    </row>
    <row r="5926" spans="1:1" ht="15" customHeight="1" x14ac:dyDescent="0.25">
      <c r="A5926"/>
    </row>
    <row r="5927" spans="1:1" ht="15" customHeight="1" x14ac:dyDescent="0.25">
      <c r="A5927"/>
    </row>
    <row r="5928" spans="1:1" ht="15" customHeight="1" x14ac:dyDescent="0.25">
      <c r="A5928"/>
    </row>
    <row r="5929" spans="1:1" ht="15" customHeight="1" x14ac:dyDescent="0.25">
      <c r="A5929"/>
    </row>
    <row r="5930" spans="1:1" ht="15" customHeight="1" x14ac:dyDescent="0.25">
      <c r="A5930"/>
    </row>
    <row r="5931" spans="1:1" ht="15" customHeight="1" x14ac:dyDescent="0.25">
      <c r="A5931"/>
    </row>
    <row r="5932" spans="1:1" ht="15" customHeight="1" x14ac:dyDescent="0.25">
      <c r="A5932"/>
    </row>
    <row r="5933" spans="1:1" ht="15" customHeight="1" x14ac:dyDescent="0.25">
      <c r="A5933"/>
    </row>
    <row r="5934" spans="1:1" ht="15" customHeight="1" x14ac:dyDescent="0.25">
      <c r="A5934"/>
    </row>
    <row r="5935" spans="1:1" ht="15" customHeight="1" x14ac:dyDescent="0.25">
      <c r="A5935"/>
    </row>
    <row r="5936" spans="1:1" ht="15" customHeight="1" x14ac:dyDescent="0.25">
      <c r="A5936"/>
    </row>
    <row r="5937" spans="1:1" ht="15" customHeight="1" x14ac:dyDescent="0.25">
      <c r="A5937"/>
    </row>
    <row r="5938" spans="1:1" ht="15" customHeight="1" x14ac:dyDescent="0.25">
      <c r="A5938"/>
    </row>
    <row r="5939" spans="1:1" ht="15" customHeight="1" x14ac:dyDescent="0.25">
      <c r="A5939"/>
    </row>
    <row r="5940" spans="1:1" ht="15" customHeight="1" x14ac:dyDescent="0.25">
      <c r="A5940"/>
    </row>
    <row r="5941" spans="1:1" ht="15" customHeight="1" x14ac:dyDescent="0.25">
      <c r="A5941"/>
    </row>
    <row r="5942" spans="1:1" ht="15" customHeight="1" x14ac:dyDescent="0.25">
      <c r="A5942"/>
    </row>
    <row r="5943" spans="1:1" ht="15" customHeight="1" x14ac:dyDescent="0.25">
      <c r="A5943"/>
    </row>
    <row r="5944" spans="1:1" ht="15" customHeight="1" x14ac:dyDescent="0.25">
      <c r="A5944"/>
    </row>
    <row r="5945" spans="1:1" ht="15" customHeight="1" x14ac:dyDescent="0.25">
      <c r="A5945"/>
    </row>
    <row r="5946" spans="1:1" ht="15" customHeight="1" x14ac:dyDescent="0.25">
      <c r="A5946"/>
    </row>
    <row r="5947" spans="1:1" ht="15" customHeight="1" x14ac:dyDescent="0.25">
      <c r="A5947"/>
    </row>
    <row r="5948" spans="1:1" ht="15" customHeight="1" x14ac:dyDescent="0.25">
      <c r="A5948"/>
    </row>
    <row r="5949" spans="1:1" ht="15" customHeight="1" x14ac:dyDescent="0.25">
      <c r="A5949"/>
    </row>
    <row r="5950" spans="1:1" ht="15" customHeight="1" x14ac:dyDescent="0.25">
      <c r="A5950"/>
    </row>
    <row r="5951" spans="1:1" ht="15" customHeight="1" x14ac:dyDescent="0.25">
      <c r="A5951"/>
    </row>
    <row r="5952" spans="1:1" ht="15" customHeight="1" x14ac:dyDescent="0.25">
      <c r="A5952"/>
    </row>
    <row r="5953" spans="1:1" ht="15" customHeight="1" x14ac:dyDescent="0.25">
      <c r="A5953"/>
    </row>
    <row r="5954" spans="1:1" ht="15" customHeight="1" x14ac:dyDescent="0.25">
      <c r="A5954"/>
    </row>
    <row r="5955" spans="1:1" ht="15" customHeight="1" x14ac:dyDescent="0.25">
      <c r="A5955"/>
    </row>
    <row r="5956" spans="1:1" ht="15" customHeight="1" x14ac:dyDescent="0.25">
      <c r="A5956"/>
    </row>
    <row r="5957" spans="1:1" ht="15" customHeight="1" x14ac:dyDescent="0.25">
      <c r="A5957"/>
    </row>
    <row r="5958" spans="1:1" ht="15" customHeight="1" x14ac:dyDescent="0.25">
      <c r="A5958"/>
    </row>
    <row r="5959" spans="1:1" ht="15" customHeight="1" x14ac:dyDescent="0.25">
      <c r="A5959"/>
    </row>
    <row r="5960" spans="1:1" ht="15" customHeight="1" x14ac:dyDescent="0.25">
      <c r="A5960"/>
    </row>
    <row r="5961" spans="1:1" ht="15" customHeight="1" x14ac:dyDescent="0.25">
      <c r="A5961"/>
    </row>
    <row r="5962" spans="1:1" ht="15" customHeight="1" x14ac:dyDescent="0.25">
      <c r="A5962"/>
    </row>
    <row r="5963" spans="1:1" ht="15" customHeight="1" x14ac:dyDescent="0.25">
      <c r="A5963"/>
    </row>
    <row r="5964" spans="1:1" ht="15" customHeight="1" x14ac:dyDescent="0.25">
      <c r="A5964"/>
    </row>
    <row r="5965" spans="1:1" ht="15" customHeight="1" x14ac:dyDescent="0.25">
      <c r="A5965"/>
    </row>
    <row r="5966" spans="1:1" ht="15" customHeight="1" x14ac:dyDescent="0.25">
      <c r="A5966"/>
    </row>
    <row r="5967" spans="1:1" ht="15" customHeight="1" x14ac:dyDescent="0.25">
      <c r="A5967"/>
    </row>
    <row r="5968" spans="1:1" ht="15" customHeight="1" x14ac:dyDescent="0.25">
      <c r="A5968"/>
    </row>
    <row r="5969" spans="1:1" ht="15" customHeight="1" x14ac:dyDescent="0.25">
      <c r="A5969"/>
    </row>
    <row r="5970" spans="1:1" ht="15" customHeight="1" x14ac:dyDescent="0.25">
      <c r="A5970"/>
    </row>
    <row r="5971" spans="1:1" ht="15" customHeight="1" x14ac:dyDescent="0.25">
      <c r="A5971"/>
    </row>
    <row r="5972" spans="1:1" ht="15" customHeight="1" x14ac:dyDescent="0.25">
      <c r="A5972"/>
    </row>
    <row r="5973" spans="1:1" ht="15" customHeight="1" x14ac:dyDescent="0.25">
      <c r="A5973"/>
    </row>
    <row r="5974" spans="1:1" ht="15" customHeight="1" x14ac:dyDescent="0.25">
      <c r="A5974"/>
    </row>
    <row r="5975" spans="1:1" ht="15" customHeight="1" x14ac:dyDescent="0.25">
      <c r="A5975"/>
    </row>
    <row r="5976" spans="1:1" ht="15" customHeight="1" x14ac:dyDescent="0.25">
      <c r="A5976"/>
    </row>
    <row r="5977" spans="1:1" ht="15" customHeight="1" x14ac:dyDescent="0.25">
      <c r="A5977"/>
    </row>
    <row r="5978" spans="1:1" ht="15" customHeight="1" x14ac:dyDescent="0.25">
      <c r="A5978"/>
    </row>
    <row r="5979" spans="1:1" ht="15" customHeight="1" x14ac:dyDescent="0.25">
      <c r="A5979"/>
    </row>
    <row r="5980" spans="1:1" ht="15" customHeight="1" x14ac:dyDescent="0.25">
      <c r="A5980"/>
    </row>
    <row r="5981" spans="1:1" ht="15" customHeight="1" x14ac:dyDescent="0.25">
      <c r="A5981"/>
    </row>
    <row r="5982" spans="1:1" ht="15" customHeight="1" x14ac:dyDescent="0.25">
      <c r="A5982"/>
    </row>
    <row r="5983" spans="1:1" ht="15" customHeight="1" x14ac:dyDescent="0.25">
      <c r="A5983"/>
    </row>
    <row r="5984" spans="1:1" ht="15" customHeight="1" x14ac:dyDescent="0.25">
      <c r="A5984"/>
    </row>
    <row r="5985" spans="1:1" ht="15" customHeight="1" x14ac:dyDescent="0.25">
      <c r="A5985"/>
    </row>
    <row r="5986" spans="1:1" ht="15" customHeight="1" x14ac:dyDescent="0.25">
      <c r="A5986"/>
    </row>
    <row r="5987" spans="1:1" ht="15" customHeight="1" x14ac:dyDescent="0.25">
      <c r="A5987"/>
    </row>
    <row r="5988" spans="1:1" ht="15" customHeight="1" x14ac:dyDescent="0.25">
      <c r="A5988"/>
    </row>
    <row r="5989" spans="1:1" ht="15" customHeight="1" x14ac:dyDescent="0.25">
      <c r="A5989"/>
    </row>
    <row r="5990" spans="1:1" ht="15" customHeight="1" x14ac:dyDescent="0.25">
      <c r="A5990"/>
    </row>
    <row r="5991" spans="1:1" ht="15" customHeight="1" x14ac:dyDescent="0.25">
      <c r="A5991"/>
    </row>
    <row r="5992" spans="1:1" ht="15" customHeight="1" x14ac:dyDescent="0.25">
      <c r="A5992"/>
    </row>
    <row r="5993" spans="1:1" ht="15" customHeight="1" x14ac:dyDescent="0.25">
      <c r="A5993"/>
    </row>
    <row r="5994" spans="1:1" ht="15" customHeight="1" x14ac:dyDescent="0.25">
      <c r="A5994"/>
    </row>
    <row r="5995" spans="1:1" ht="15" customHeight="1" x14ac:dyDescent="0.25">
      <c r="A5995"/>
    </row>
    <row r="5996" spans="1:1" ht="15" customHeight="1" x14ac:dyDescent="0.25">
      <c r="A5996"/>
    </row>
    <row r="5997" spans="1:1" ht="15" customHeight="1" x14ac:dyDescent="0.25">
      <c r="A5997"/>
    </row>
    <row r="5998" spans="1:1" ht="15" customHeight="1" x14ac:dyDescent="0.25">
      <c r="A5998"/>
    </row>
    <row r="5999" spans="1:1" ht="15" customHeight="1" x14ac:dyDescent="0.25">
      <c r="A5999"/>
    </row>
    <row r="6000" spans="1:1" ht="15" customHeight="1" x14ac:dyDescent="0.25">
      <c r="A6000"/>
    </row>
    <row r="6001" spans="1:1" ht="15" customHeight="1" x14ac:dyDescent="0.25">
      <c r="A6001"/>
    </row>
    <row r="6002" spans="1:1" ht="15" customHeight="1" x14ac:dyDescent="0.25">
      <c r="A6002"/>
    </row>
    <row r="6003" spans="1:1" ht="15" customHeight="1" x14ac:dyDescent="0.25">
      <c r="A6003"/>
    </row>
    <row r="6004" spans="1:1" ht="15" customHeight="1" x14ac:dyDescent="0.25">
      <c r="A6004"/>
    </row>
    <row r="6005" spans="1:1" ht="15" customHeight="1" x14ac:dyDescent="0.25">
      <c r="A6005"/>
    </row>
    <row r="6006" spans="1:1" ht="15" customHeight="1" x14ac:dyDescent="0.25">
      <c r="A6006"/>
    </row>
    <row r="6007" spans="1:1" ht="15" customHeight="1" x14ac:dyDescent="0.25">
      <c r="A6007"/>
    </row>
    <row r="6008" spans="1:1" ht="15" customHeight="1" x14ac:dyDescent="0.25">
      <c r="A6008"/>
    </row>
    <row r="6009" spans="1:1" ht="15" customHeight="1" x14ac:dyDescent="0.25">
      <c r="A6009"/>
    </row>
    <row r="6010" spans="1:1" ht="15" customHeight="1" x14ac:dyDescent="0.25">
      <c r="A6010"/>
    </row>
    <row r="6011" spans="1:1" ht="15" customHeight="1" x14ac:dyDescent="0.25">
      <c r="A6011"/>
    </row>
    <row r="6012" spans="1:1" ht="15" customHeight="1" x14ac:dyDescent="0.25">
      <c r="A6012"/>
    </row>
    <row r="6013" spans="1:1" ht="15" customHeight="1" x14ac:dyDescent="0.25">
      <c r="A6013"/>
    </row>
    <row r="6014" spans="1:1" ht="15" customHeight="1" x14ac:dyDescent="0.25">
      <c r="A6014"/>
    </row>
    <row r="6015" spans="1:1" ht="15" customHeight="1" x14ac:dyDescent="0.25">
      <c r="A6015"/>
    </row>
    <row r="6016" spans="1:1" ht="15" customHeight="1" x14ac:dyDescent="0.25">
      <c r="A6016"/>
    </row>
    <row r="6017" spans="1:1" ht="15" customHeight="1" x14ac:dyDescent="0.25">
      <c r="A6017"/>
    </row>
    <row r="6018" spans="1:1" ht="15" customHeight="1" x14ac:dyDescent="0.25">
      <c r="A6018"/>
    </row>
    <row r="6019" spans="1:1" ht="15" customHeight="1" x14ac:dyDescent="0.25">
      <c r="A6019"/>
    </row>
    <row r="6020" spans="1:1" ht="15" customHeight="1" x14ac:dyDescent="0.25">
      <c r="A6020"/>
    </row>
    <row r="6021" spans="1:1" ht="15" customHeight="1" x14ac:dyDescent="0.25">
      <c r="A6021"/>
    </row>
    <row r="6022" spans="1:1" ht="15" customHeight="1" x14ac:dyDescent="0.25">
      <c r="A6022"/>
    </row>
    <row r="6023" spans="1:1" ht="15" customHeight="1" x14ac:dyDescent="0.25">
      <c r="A6023"/>
    </row>
    <row r="6024" spans="1:1" ht="15" customHeight="1" x14ac:dyDescent="0.25">
      <c r="A6024"/>
    </row>
    <row r="6025" spans="1:1" ht="15" customHeight="1" x14ac:dyDescent="0.25">
      <c r="A6025"/>
    </row>
    <row r="6026" spans="1:1" ht="15" customHeight="1" x14ac:dyDescent="0.25">
      <c r="A6026"/>
    </row>
    <row r="6027" spans="1:1" ht="15" customHeight="1" x14ac:dyDescent="0.25">
      <c r="A6027"/>
    </row>
    <row r="6028" spans="1:1" ht="15" customHeight="1" x14ac:dyDescent="0.25">
      <c r="A6028"/>
    </row>
    <row r="6029" spans="1:1" ht="15" customHeight="1" x14ac:dyDescent="0.25">
      <c r="A6029"/>
    </row>
    <row r="6030" spans="1:1" ht="15" customHeight="1" x14ac:dyDescent="0.25">
      <c r="A6030"/>
    </row>
    <row r="6031" spans="1:1" ht="15" customHeight="1" x14ac:dyDescent="0.25">
      <c r="A6031"/>
    </row>
    <row r="6032" spans="1:1" ht="15" customHeight="1" x14ac:dyDescent="0.25">
      <c r="A6032"/>
    </row>
    <row r="6033" spans="1:1" ht="15" customHeight="1" x14ac:dyDescent="0.25">
      <c r="A6033"/>
    </row>
    <row r="6034" spans="1:1" ht="15" customHeight="1" x14ac:dyDescent="0.25">
      <c r="A6034"/>
    </row>
    <row r="6035" spans="1:1" ht="15" customHeight="1" x14ac:dyDescent="0.25">
      <c r="A6035"/>
    </row>
    <row r="6036" spans="1:1" ht="15" customHeight="1" x14ac:dyDescent="0.25">
      <c r="A6036"/>
    </row>
    <row r="6037" spans="1:1" ht="15" customHeight="1" x14ac:dyDescent="0.25">
      <c r="A6037"/>
    </row>
    <row r="6038" spans="1:1" ht="15" customHeight="1" x14ac:dyDescent="0.25">
      <c r="A6038"/>
    </row>
    <row r="6039" spans="1:1" ht="15" customHeight="1" x14ac:dyDescent="0.25">
      <c r="A6039"/>
    </row>
    <row r="6040" spans="1:1" ht="15" customHeight="1" x14ac:dyDescent="0.25">
      <c r="A6040"/>
    </row>
    <row r="6041" spans="1:1" ht="15" customHeight="1" x14ac:dyDescent="0.25">
      <c r="A6041"/>
    </row>
    <row r="6042" spans="1:1" ht="15" customHeight="1" x14ac:dyDescent="0.25">
      <c r="A6042"/>
    </row>
    <row r="6043" spans="1:1" ht="15" customHeight="1" x14ac:dyDescent="0.25">
      <c r="A6043"/>
    </row>
    <row r="6044" spans="1:1" ht="15" customHeight="1" x14ac:dyDescent="0.25">
      <c r="A6044"/>
    </row>
    <row r="6045" spans="1:1" ht="15" customHeight="1" x14ac:dyDescent="0.25">
      <c r="A6045"/>
    </row>
    <row r="6046" spans="1:1" ht="15" customHeight="1" x14ac:dyDescent="0.25">
      <c r="A6046"/>
    </row>
    <row r="6047" spans="1:1" ht="15" customHeight="1" x14ac:dyDescent="0.25">
      <c r="A6047"/>
    </row>
    <row r="6048" spans="1:1" ht="15" customHeight="1" x14ac:dyDescent="0.25">
      <c r="A6048"/>
    </row>
    <row r="6049" spans="1:1" ht="15" customHeight="1" x14ac:dyDescent="0.25">
      <c r="A6049"/>
    </row>
    <row r="6050" spans="1:1" ht="15" customHeight="1" x14ac:dyDescent="0.25">
      <c r="A6050"/>
    </row>
    <row r="6051" spans="1:1" ht="15" customHeight="1" x14ac:dyDescent="0.25">
      <c r="A6051"/>
    </row>
    <row r="6052" spans="1:1" ht="15" customHeight="1" x14ac:dyDescent="0.25">
      <c r="A6052"/>
    </row>
    <row r="6053" spans="1:1" ht="15" customHeight="1" x14ac:dyDescent="0.25">
      <c r="A6053"/>
    </row>
    <row r="6054" spans="1:1" ht="15" customHeight="1" x14ac:dyDescent="0.25">
      <c r="A6054"/>
    </row>
    <row r="6055" spans="1:1" ht="15" customHeight="1" x14ac:dyDescent="0.25">
      <c r="A6055"/>
    </row>
    <row r="6056" spans="1:1" ht="15" customHeight="1" x14ac:dyDescent="0.25">
      <c r="A6056"/>
    </row>
    <row r="6057" spans="1:1" ht="15" customHeight="1" x14ac:dyDescent="0.25">
      <c r="A6057"/>
    </row>
    <row r="6058" spans="1:1" ht="15" customHeight="1" x14ac:dyDescent="0.25">
      <c r="A6058"/>
    </row>
    <row r="6059" spans="1:1" ht="15" customHeight="1" x14ac:dyDescent="0.25">
      <c r="A6059"/>
    </row>
    <row r="6060" spans="1:1" ht="15" customHeight="1" x14ac:dyDescent="0.25">
      <c r="A6060"/>
    </row>
    <row r="6061" spans="1:1" ht="15" customHeight="1" x14ac:dyDescent="0.25">
      <c r="A6061"/>
    </row>
    <row r="6062" spans="1:1" ht="15" customHeight="1" x14ac:dyDescent="0.25">
      <c r="A6062"/>
    </row>
    <row r="6063" spans="1:1" ht="15" customHeight="1" x14ac:dyDescent="0.25">
      <c r="A6063"/>
    </row>
    <row r="6064" spans="1:1" ht="15" customHeight="1" x14ac:dyDescent="0.25">
      <c r="A6064"/>
    </row>
    <row r="6065" spans="1:1" ht="15" customHeight="1" x14ac:dyDescent="0.25">
      <c r="A6065"/>
    </row>
    <row r="6066" spans="1:1" ht="15" customHeight="1" x14ac:dyDescent="0.25">
      <c r="A6066"/>
    </row>
    <row r="6067" spans="1:1" ht="15" customHeight="1" x14ac:dyDescent="0.25">
      <c r="A6067"/>
    </row>
    <row r="6068" spans="1:1" ht="15" customHeight="1" x14ac:dyDescent="0.25">
      <c r="A6068"/>
    </row>
    <row r="6069" spans="1:1" ht="15" customHeight="1" x14ac:dyDescent="0.25">
      <c r="A6069"/>
    </row>
    <row r="6070" spans="1:1" ht="15" customHeight="1" x14ac:dyDescent="0.25">
      <c r="A6070"/>
    </row>
    <row r="6071" spans="1:1" ht="15" customHeight="1" x14ac:dyDescent="0.25">
      <c r="A6071"/>
    </row>
    <row r="6072" spans="1:1" ht="15" customHeight="1" x14ac:dyDescent="0.25">
      <c r="A6072"/>
    </row>
    <row r="6073" spans="1:1" ht="15" customHeight="1" x14ac:dyDescent="0.25">
      <c r="A6073"/>
    </row>
    <row r="6074" spans="1:1" ht="15" customHeight="1" x14ac:dyDescent="0.25">
      <c r="A6074"/>
    </row>
    <row r="6075" spans="1:1" ht="15" customHeight="1" x14ac:dyDescent="0.25">
      <c r="A6075"/>
    </row>
    <row r="6076" spans="1:1" ht="15" customHeight="1" x14ac:dyDescent="0.25">
      <c r="A6076"/>
    </row>
    <row r="6077" spans="1:1" ht="15" customHeight="1" x14ac:dyDescent="0.25">
      <c r="A6077"/>
    </row>
    <row r="6078" spans="1:1" ht="15" customHeight="1" x14ac:dyDescent="0.25">
      <c r="A6078"/>
    </row>
    <row r="6079" spans="1:1" ht="15" customHeight="1" x14ac:dyDescent="0.25">
      <c r="A6079"/>
    </row>
    <row r="6080" spans="1:1" ht="15" customHeight="1" x14ac:dyDescent="0.25">
      <c r="A6080"/>
    </row>
    <row r="6081" spans="1:1" ht="15" customHeight="1" x14ac:dyDescent="0.25">
      <c r="A6081"/>
    </row>
    <row r="6082" spans="1:1" ht="15" customHeight="1" x14ac:dyDescent="0.25">
      <c r="A6082"/>
    </row>
    <row r="6083" spans="1:1" ht="15" customHeight="1" x14ac:dyDescent="0.25">
      <c r="A6083"/>
    </row>
    <row r="6084" spans="1:1" ht="15" customHeight="1" x14ac:dyDescent="0.25">
      <c r="A6084"/>
    </row>
    <row r="6085" spans="1:1" ht="15" customHeight="1" x14ac:dyDescent="0.25">
      <c r="A6085"/>
    </row>
    <row r="6086" spans="1:1" ht="15" customHeight="1" x14ac:dyDescent="0.25">
      <c r="A6086"/>
    </row>
    <row r="6087" spans="1:1" ht="15" customHeight="1" x14ac:dyDescent="0.25">
      <c r="A6087"/>
    </row>
    <row r="6088" spans="1:1" ht="15" customHeight="1" x14ac:dyDescent="0.25">
      <c r="A6088"/>
    </row>
    <row r="6089" spans="1:1" ht="15" customHeight="1" x14ac:dyDescent="0.25">
      <c r="A6089"/>
    </row>
    <row r="6090" spans="1:1" ht="15" customHeight="1" x14ac:dyDescent="0.25">
      <c r="A6090"/>
    </row>
    <row r="6091" spans="1:1" ht="15" customHeight="1" x14ac:dyDescent="0.25">
      <c r="A6091"/>
    </row>
    <row r="6092" spans="1:1" ht="15" customHeight="1" x14ac:dyDescent="0.25">
      <c r="A6092"/>
    </row>
    <row r="6093" spans="1:1" ht="15" customHeight="1" x14ac:dyDescent="0.25">
      <c r="A6093"/>
    </row>
    <row r="6094" spans="1:1" ht="15" customHeight="1" x14ac:dyDescent="0.25">
      <c r="A6094"/>
    </row>
    <row r="6095" spans="1:1" ht="15" customHeight="1" x14ac:dyDescent="0.25">
      <c r="A6095"/>
    </row>
    <row r="6096" spans="1:1" ht="15" customHeight="1" x14ac:dyDescent="0.25">
      <c r="A6096"/>
    </row>
    <row r="6097" spans="1:1" ht="15" customHeight="1" x14ac:dyDescent="0.25">
      <c r="A6097"/>
    </row>
    <row r="6098" spans="1:1" ht="15" customHeight="1" x14ac:dyDescent="0.25">
      <c r="A6098"/>
    </row>
    <row r="6099" spans="1:1" ht="15" customHeight="1" x14ac:dyDescent="0.25">
      <c r="A6099"/>
    </row>
    <row r="6100" spans="1:1" ht="15" customHeight="1" x14ac:dyDescent="0.25">
      <c r="A6100"/>
    </row>
    <row r="6101" spans="1:1" ht="15" customHeight="1" x14ac:dyDescent="0.25">
      <c r="A6101"/>
    </row>
    <row r="6102" spans="1:1" ht="15" customHeight="1" x14ac:dyDescent="0.25">
      <c r="A6102"/>
    </row>
    <row r="6103" spans="1:1" ht="15" customHeight="1" x14ac:dyDescent="0.25">
      <c r="A6103"/>
    </row>
    <row r="6104" spans="1:1" ht="15" customHeight="1" x14ac:dyDescent="0.25">
      <c r="A6104"/>
    </row>
    <row r="6105" spans="1:1" ht="15" customHeight="1" x14ac:dyDescent="0.25">
      <c r="A6105"/>
    </row>
    <row r="6106" spans="1:1" ht="15" customHeight="1" x14ac:dyDescent="0.25">
      <c r="A6106"/>
    </row>
    <row r="6107" spans="1:1" ht="15" customHeight="1" x14ac:dyDescent="0.25">
      <c r="A6107"/>
    </row>
    <row r="6108" spans="1:1" ht="15" customHeight="1" x14ac:dyDescent="0.25">
      <c r="A6108"/>
    </row>
    <row r="6109" spans="1:1" ht="15" customHeight="1" x14ac:dyDescent="0.25">
      <c r="A6109"/>
    </row>
    <row r="6110" spans="1:1" ht="15" customHeight="1" x14ac:dyDescent="0.25">
      <c r="A6110"/>
    </row>
    <row r="6111" spans="1:1" ht="15" customHeight="1" x14ac:dyDescent="0.25">
      <c r="A6111"/>
    </row>
    <row r="6112" spans="1:1" ht="15" customHeight="1" x14ac:dyDescent="0.25">
      <c r="A6112"/>
    </row>
    <row r="6113" spans="1:1" ht="15" customHeight="1" x14ac:dyDescent="0.25">
      <c r="A6113"/>
    </row>
    <row r="6114" spans="1:1" ht="15" customHeight="1" x14ac:dyDescent="0.25">
      <c r="A6114"/>
    </row>
    <row r="6115" spans="1:1" ht="15" customHeight="1" x14ac:dyDescent="0.25">
      <c r="A6115"/>
    </row>
    <row r="6116" spans="1:1" ht="15" customHeight="1" x14ac:dyDescent="0.25">
      <c r="A6116"/>
    </row>
    <row r="6117" spans="1:1" ht="15" customHeight="1" x14ac:dyDescent="0.25">
      <c r="A6117"/>
    </row>
    <row r="6118" spans="1:1" ht="15" customHeight="1" x14ac:dyDescent="0.25">
      <c r="A6118"/>
    </row>
    <row r="6119" spans="1:1" ht="15" customHeight="1" x14ac:dyDescent="0.25">
      <c r="A6119"/>
    </row>
    <row r="6120" spans="1:1" ht="15" customHeight="1" x14ac:dyDescent="0.25">
      <c r="A6120"/>
    </row>
    <row r="6121" spans="1:1" ht="15" customHeight="1" x14ac:dyDescent="0.25">
      <c r="A6121"/>
    </row>
    <row r="6122" spans="1:1" ht="15" customHeight="1" x14ac:dyDescent="0.25">
      <c r="A6122"/>
    </row>
    <row r="6123" spans="1:1" ht="15" customHeight="1" x14ac:dyDescent="0.25">
      <c r="A6123"/>
    </row>
    <row r="6124" spans="1:1" ht="15" customHeight="1" x14ac:dyDescent="0.25">
      <c r="A6124"/>
    </row>
    <row r="6125" spans="1:1" ht="15" customHeight="1" x14ac:dyDescent="0.25">
      <c r="A6125"/>
    </row>
    <row r="6126" spans="1:1" ht="15" customHeight="1" x14ac:dyDescent="0.25">
      <c r="A6126"/>
    </row>
    <row r="6127" spans="1:1" ht="15" customHeight="1" x14ac:dyDescent="0.25">
      <c r="A6127"/>
    </row>
    <row r="6128" spans="1:1" ht="15" customHeight="1" x14ac:dyDescent="0.25">
      <c r="A6128"/>
    </row>
    <row r="6129" spans="1:1" ht="15" customHeight="1" x14ac:dyDescent="0.25">
      <c r="A6129"/>
    </row>
    <row r="6130" spans="1:1" ht="15" customHeight="1" x14ac:dyDescent="0.25">
      <c r="A6130"/>
    </row>
    <row r="6131" spans="1:1" ht="15" customHeight="1" x14ac:dyDescent="0.25">
      <c r="A6131"/>
    </row>
    <row r="6132" spans="1:1" ht="15" customHeight="1" x14ac:dyDescent="0.25">
      <c r="A6132"/>
    </row>
    <row r="6133" spans="1:1" ht="15" customHeight="1" x14ac:dyDescent="0.25">
      <c r="A6133"/>
    </row>
    <row r="6134" spans="1:1" ht="15" customHeight="1" x14ac:dyDescent="0.25">
      <c r="A6134"/>
    </row>
    <row r="6135" spans="1:1" ht="15" customHeight="1" x14ac:dyDescent="0.25">
      <c r="A6135"/>
    </row>
    <row r="6136" spans="1:1" ht="15" customHeight="1" x14ac:dyDescent="0.25">
      <c r="A6136"/>
    </row>
    <row r="6137" spans="1:1" ht="15" customHeight="1" x14ac:dyDescent="0.25">
      <c r="A6137"/>
    </row>
    <row r="6138" spans="1:1" ht="15" customHeight="1" x14ac:dyDescent="0.25">
      <c r="A6138"/>
    </row>
    <row r="6139" spans="1:1" ht="15" customHeight="1" x14ac:dyDescent="0.25">
      <c r="A6139"/>
    </row>
    <row r="6140" spans="1:1" ht="15" customHeight="1" x14ac:dyDescent="0.25">
      <c r="A6140"/>
    </row>
    <row r="6141" spans="1:1" ht="15" customHeight="1" x14ac:dyDescent="0.25">
      <c r="A6141"/>
    </row>
    <row r="6142" spans="1:1" ht="15" customHeight="1" x14ac:dyDescent="0.25">
      <c r="A6142"/>
    </row>
    <row r="6143" spans="1:1" ht="15" customHeight="1" x14ac:dyDescent="0.25">
      <c r="A6143"/>
    </row>
    <row r="6144" spans="1:1" ht="15" customHeight="1" x14ac:dyDescent="0.25">
      <c r="A6144"/>
    </row>
    <row r="6145" spans="1:1" ht="15" customHeight="1" x14ac:dyDescent="0.25">
      <c r="A6145"/>
    </row>
    <row r="6146" spans="1:1" ht="15" customHeight="1" x14ac:dyDescent="0.25">
      <c r="A6146"/>
    </row>
    <row r="6147" spans="1:1" ht="15" customHeight="1" x14ac:dyDescent="0.25">
      <c r="A6147"/>
    </row>
    <row r="6148" spans="1:1" ht="15" customHeight="1" x14ac:dyDescent="0.25">
      <c r="A6148"/>
    </row>
    <row r="6149" spans="1:1" ht="15" customHeight="1" x14ac:dyDescent="0.25">
      <c r="A6149"/>
    </row>
    <row r="6150" spans="1:1" ht="15" customHeight="1" x14ac:dyDescent="0.25">
      <c r="A6150"/>
    </row>
    <row r="6151" spans="1:1" ht="15" customHeight="1" x14ac:dyDescent="0.25">
      <c r="A6151"/>
    </row>
    <row r="6152" spans="1:1" ht="15" customHeight="1" x14ac:dyDescent="0.25">
      <c r="A6152"/>
    </row>
    <row r="6153" spans="1:1" ht="15" customHeight="1" x14ac:dyDescent="0.25">
      <c r="A6153"/>
    </row>
    <row r="6154" spans="1:1" ht="15" customHeight="1" x14ac:dyDescent="0.25">
      <c r="A6154"/>
    </row>
    <row r="6155" spans="1:1" ht="15" customHeight="1" x14ac:dyDescent="0.25">
      <c r="A6155"/>
    </row>
    <row r="6156" spans="1:1" ht="15" customHeight="1" x14ac:dyDescent="0.25">
      <c r="A6156"/>
    </row>
    <row r="6157" spans="1:1" ht="15" customHeight="1" x14ac:dyDescent="0.25">
      <c r="A6157"/>
    </row>
    <row r="6158" spans="1:1" ht="15" customHeight="1" x14ac:dyDescent="0.25">
      <c r="A6158"/>
    </row>
    <row r="6159" spans="1:1" ht="15" customHeight="1" x14ac:dyDescent="0.25">
      <c r="A6159"/>
    </row>
    <row r="6160" spans="1:1" ht="15" customHeight="1" x14ac:dyDescent="0.25">
      <c r="A6160"/>
    </row>
    <row r="6161" spans="1:1" ht="15" customHeight="1" x14ac:dyDescent="0.25">
      <c r="A6161"/>
    </row>
    <row r="6162" spans="1:1" ht="15" customHeight="1" x14ac:dyDescent="0.25">
      <c r="A6162"/>
    </row>
    <row r="6163" spans="1:1" ht="15" customHeight="1" x14ac:dyDescent="0.25">
      <c r="A6163"/>
    </row>
    <row r="6164" spans="1:1" ht="15" customHeight="1" x14ac:dyDescent="0.25">
      <c r="A6164"/>
    </row>
    <row r="6165" spans="1:1" ht="15" customHeight="1" x14ac:dyDescent="0.25">
      <c r="A6165"/>
    </row>
    <row r="6166" spans="1:1" ht="15" customHeight="1" x14ac:dyDescent="0.25">
      <c r="A6166"/>
    </row>
    <row r="6167" spans="1:1" ht="15" customHeight="1" x14ac:dyDescent="0.25">
      <c r="A6167"/>
    </row>
    <row r="6168" spans="1:1" ht="15" customHeight="1" x14ac:dyDescent="0.25">
      <c r="A6168"/>
    </row>
    <row r="6169" spans="1:1" ht="15" customHeight="1" x14ac:dyDescent="0.25">
      <c r="A6169"/>
    </row>
    <row r="6170" spans="1:1" ht="15" customHeight="1" x14ac:dyDescent="0.25">
      <c r="A6170"/>
    </row>
    <row r="6171" spans="1:1" ht="15" customHeight="1" x14ac:dyDescent="0.25">
      <c r="A6171"/>
    </row>
    <row r="6172" spans="1:1" ht="15" customHeight="1" x14ac:dyDescent="0.25">
      <c r="A6172"/>
    </row>
    <row r="6173" spans="1:1" ht="15" customHeight="1" x14ac:dyDescent="0.25">
      <c r="A6173"/>
    </row>
    <row r="6174" spans="1:1" ht="15" customHeight="1" x14ac:dyDescent="0.25">
      <c r="A6174"/>
    </row>
    <row r="6175" spans="1:1" ht="15" customHeight="1" x14ac:dyDescent="0.25">
      <c r="A6175"/>
    </row>
    <row r="6176" spans="1:1" ht="15" customHeight="1" x14ac:dyDescent="0.25">
      <c r="A6176"/>
    </row>
    <row r="6177" spans="1:1" ht="15" customHeight="1" x14ac:dyDescent="0.25">
      <c r="A6177"/>
    </row>
    <row r="6178" spans="1:1" ht="15" customHeight="1" x14ac:dyDescent="0.25">
      <c r="A6178"/>
    </row>
    <row r="6179" spans="1:1" ht="15" customHeight="1" x14ac:dyDescent="0.25">
      <c r="A6179"/>
    </row>
    <row r="6180" spans="1:1" ht="15" customHeight="1" x14ac:dyDescent="0.25">
      <c r="A6180"/>
    </row>
    <row r="6181" spans="1:1" ht="15" customHeight="1" x14ac:dyDescent="0.25">
      <c r="A6181"/>
    </row>
    <row r="6182" spans="1:1" ht="15" customHeight="1" x14ac:dyDescent="0.25">
      <c r="A6182"/>
    </row>
    <row r="6183" spans="1:1" ht="15" customHeight="1" x14ac:dyDescent="0.25">
      <c r="A6183"/>
    </row>
    <row r="6184" spans="1:1" ht="15" customHeight="1" x14ac:dyDescent="0.25">
      <c r="A6184"/>
    </row>
    <row r="6185" spans="1:1" ht="15" customHeight="1" x14ac:dyDescent="0.25">
      <c r="A6185"/>
    </row>
    <row r="6186" spans="1:1" ht="15" customHeight="1" x14ac:dyDescent="0.25">
      <c r="A6186"/>
    </row>
    <row r="6187" spans="1:1" ht="15" customHeight="1" x14ac:dyDescent="0.25">
      <c r="A6187"/>
    </row>
    <row r="6188" spans="1:1" ht="15" customHeight="1" x14ac:dyDescent="0.25">
      <c r="A6188"/>
    </row>
    <row r="6189" spans="1:1" ht="15" customHeight="1" x14ac:dyDescent="0.25">
      <c r="A6189"/>
    </row>
    <row r="6190" spans="1:1" ht="15" customHeight="1" x14ac:dyDescent="0.25">
      <c r="A6190"/>
    </row>
    <row r="6191" spans="1:1" ht="15" customHeight="1" x14ac:dyDescent="0.25">
      <c r="A6191"/>
    </row>
    <row r="6192" spans="1:1" ht="15" customHeight="1" x14ac:dyDescent="0.25">
      <c r="A6192"/>
    </row>
    <row r="6193" spans="1:1" ht="15" customHeight="1" x14ac:dyDescent="0.25">
      <c r="A6193"/>
    </row>
    <row r="6194" spans="1:1" ht="15" customHeight="1" x14ac:dyDescent="0.25">
      <c r="A6194"/>
    </row>
    <row r="6195" spans="1:1" ht="15" customHeight="1" x14ac:dyDescent="0.25">
      <c r="A6195"/>
    </row>
    <row r="6196" spans="1:1" ht="15" customHeight="1" x14ac:dyDescent="0.25">
      <c r="A6196"/>
    </row>
    <row r="6197" spans="1:1" ht="15" customHeight="1" x14ac:dyDescent="0.25">
      <c r="A6197"/>
    </row>
    <row r="6198" spans="1:1" ht="15" customHeight="1" x14ac:dyDescent="0.25">
      <c r="A6198"/>
    </row>
    <row r="6199" spans="1:1" ht="15" customHeight="1" x14ac:dyDescent="0.25">
      <c r="A6199"/>
    </row>
    <row r="6200" spans="1:1" ht="15" customHeight="1" x14ac:dyDescent="0.25">
      <c r="A6200"/>
    </row>
    <row r="6201" spans="1:1" ht="15" customHeight="1" x14ac:dyDescent="0.25">
      <c r="A6201"/>
    </row>
    <row r="6202" spans="1:1" ht="15" customHeight="1" x14ac:dyDescent="0.25">
      <c r="A6202"/>
    </row>
    <row r="6203" spans="1:1" ht="15" customHeight="1" x14ac:dyDescent="0.25">
      <c r="A6203"/>
    </row>
    <row r="6204" spans="1:1" ht="15" customHeight="1" x14ac:dyDescent="0.25">
      <c r="A6204"/>
    </row>
    <row r="6205" spans="1:1" ht="15" customHeight="1" x14ac:dyDescent="0.25">
      <c r="A6205"/>
    </row>
    <row r="6206" spans="1:1" ht="15" customHeight="1" x14ac:dyDescent="0.25">
      <c r="A6206"/>
    </row>
    <row r="6207" spans="1:1" ht="15" customHeight="1" x14ac:dyDescent="0.25">
      <c r="A6207"/>
    </row>
    <row r="6208" spans="1:1" ht="15" customHeight="1" x14ac:dyDescent="0.25">
      <c r="A6208"/>
    </row>
    <row r="6209" spans="1:1" ht="15" customHeight="1" x14ac:dyDescent="0.25">
      <c r="A6209"/>
    </row>
    <row r="6210" spans="1:1" ht="15" customHeight="1" x14ac:dyDescent="0.25">
      <c r="A6210"/>
    </row>
    <row r="6211" spans="1:1" ht="15" customHeight="1" x14ac:dyDescent="0.25">
      <c r="A6211"/>
    </row>
    <row r="6212" spans="1:1" ht="15" customHeight="1" x14ac:dyDescent="0.25">
      <c r="A6212"/>
    </row>
    <row r="6213" spans="1:1" ht="15" customHeight="1" x14ac:dyDescent="0.25">
      <c r="A6213"/>
    </row>
    <row r="6214" spans="1:1" ht="15" customHeight="1" x14ac:dyDescent="0.25">
      <c r="A6214"/>
    </row>
    <row r="6215" spans="1:1" ht="15" customHeight="1" x14ac:dyDescent="0.25">
      <c r="A6215"/>
    </row>
    <row r="6216" spans="1:1" ht="15" customHeight="1" x14ac:dyDescent="0.25">
      <c r="A6216"/>
    </row>
    <row r="6217" spans="1:1" ht="15" customHeight="1" x14ac:dyDescent="0.25">
      <c r="A6217"/>
    </row>
    <row r="6218" spans="1:1" ht="15" customHeight="1" x14ac:dyDescent="0.25">
      <c r="A6218"/>
    </row>
    <row r="6219" spans="1:1" ht="15" customHeight="1" x14ac:dyDescent="0.25">
      <c r="A6219"/>
    </row>
    <row r="6220" spans="1:1" ht="15" customHeight="1" x14ac:dyDescent="0.25">
      <c r="A6220"/>
    </row>
    <row r="6221" spans="1:1" ht="15" customHeight="1" x14ac:dyDescent="0.25">
      <c r="A6221"/>
    </row>
    <row r="6222" spans="1:1" ht="15" customHeight="1" x14ac:dyDescent="0.25">
      <c r="A6222"/>
    </row>
    <row r="6223" spans="1:1" ht="15" customHeight="1" x14ac:dyDescent="0.25">
      <c r="A6223"/>
    </row>
    <row r="6224" spans="1:1" ht="15" customHeight="1" x14ac:dyDescent="0.25">
      <c r="A6224"/>
    </row>
    <row r="6225" spans="1:1" ht="15" customHeight="1" x14ac:dyDescent="0.25">
      <c r="A6225"/>
    </row>
    <row r="6226" spans="1:1" ht="15" customHeight="1" x14ac:dyDescent="0.25">
      <c r="A6226"/>
    </row>
    <row r="6227" spans="1:1" ht="15" customHeight="1" x14ac:dyDescent="0.25">
      <c r="A6227"/>
    </row>
    <row r="6228" spans="1:1" ht="15" customHeight="1" x14ac:dyDescent="0.25">
      <c r="A6228"/>
    </row>
    <row r="6229" spans="1:1" ht="15" customHeight="1" x14ac:dyDescent="0.25">
      <c r="A6229"/>
    </row>
    <row r="6230" spans="1:1" ht="15" customHeight="1" x14ac:dyDescent="0.25">
      <c r="A6230"/>
    </row>
    <row r="6231" spans="1:1" ht="15" customHeight="1" x14ac:dyDescent="0.25">
      <c r="A6231"/>
    </row>
    <row r="6232" spans="1:1" ht="15" customHeight="1" x14ac:dyDescent="0.25">
      <c r="A6232"/>
    </row>
    <row r="6233" spans="1:1" ht="15" customHeight="1" x14ac:dyDescent="0.25">
      <c r="A6233"/>
    </row>
    <row r="6234" spans="1:1" ht="15" customHeight="1" x14ac:dyDescent="0.25">
      <c r="A6234"/>
    </row>
    <row r="6235" spans="1:1" ht="15" customHeight="1" x14ac:dyDescent="0.25">
      <c r="A6235"/>
    </row>
    <row r="6236" spans="1:1" ht="15" customHeight="1" x14ac:dyDescent="0.25">
      <c r="A6236"/>
    </row>
    <row r="6237" spans="1:1" ht="15" customHeight="1" x14ac:dyDescent="0.25">
      <c r="A6237"/>
    </row>
    <row r="6238" spans="1:1" ht="15" customHeight="1" x14ac:dyDescent="0.25">
      <c r="A6238"/>
    </row>
    <row r="6239" spans="1:1" ht="15" customHeight="1" x14ac:dyDescent="0.25">
      <c r="A6239"/>
    </row>
    <row r="6240" spans="1:1" ht="15" customHeight="1" x14ac:dyDescent="0.25">
      <c r="A6240"/>
    </row>
    <row r="6241" spans="1:1" ht="15" customHeight="1" x14ac:dyDescent="0.25">
      <c r="A6241"/>
    </row>
    <row r="6242" spans="1:1" ht="15" customHeight="1" x14ac:dyDescent="0.25">
      <c r="A6242"/>
    </row>
    <row r="6243" spans="1:1" ht="15" customHeight="1" x14ac:dyDescent="0.25">
      <c r="A6243"/>
    </row>
    <row r="6244" spans="1:1" ht="15" customHeight="1" x14ac:dyDescent="0.25">
      <c r="A6244"/>
    </row>
    <row r="6245" spans="1:1" ht="15" customHeight="1" x14ac:dyDescent="0.25">
      <c r="A6245"/>
    </row>
    <row r="6246" spans="1:1" ht="15" customHeight="1" x14ac:dyDescent="0.25">
      <c r="A6246"/>
    </row>
    <row r="6247" spans="1:1" ht="15" customHeight="1" x14ac:dyDescent="0.25">
      <c r="A6247"/>
    </row>
    <row r="6248" spans="1:1" ht="15" customHeight="1" x14ac:dyDescent="0.25">
      <c r="A6248"/>
    </row>
    <row r="6249" spans="1:1" ht="15" customHeight="1" x14ac:dyDescent="0.25">
      <c r="A6249"/>
    </row>
    <row r="6250" spans="1:1" ht="15" customHeight="1" x14ac:dyDescent="0.25">
      <c r="A6250"/>
    </row>
    <row r="6251" spans="1:1" ht="15" customHeight="1" x14ac:dyDescent="0.25">
      <c r="A6251"/>
    </row>
    <row r="6252" spans="1:1" ht="15" customHeight="1" x14ac:dyDescent="0.25">
      <c r="A6252"/>
    </row>
    <row r="6253" spans="1:1" ht="15" customHeight="1" x14ac:dyDescent="0.25">
      <c r="A6253"/>
    </row>
    <row r="6254" spans="1:1" ht="15" customHeight="1" x14ac:dyDescent="0.25">
      <c r="A6254"/>
    </row>
    <row r="6255" spans="1:1" ht="15" customHeight="1" x14ac:dyDescent="0.25">
      <c r="A6255"/>
    </row>
    <row r="6256" spans="1:1" ht="15" customHeight="1" x14ac:dyDescent="0.25">
      <c r="A6256"/>
    </row>
    <row r="6257" spans="1:1" ht="15" customHeight="1" x14ac:dyDescent="0.25">
      <c r="A6257"/>
    </row>
    <row r="6258" spans="1:1" ht="15" customHeight="1" x14ac:dyDescent="0.25">
      <c r="A6258"/>
    </row>
    <row r="6259" spans="1:1" ht="15" customHeight="1" x14ac:dyDescent="0.25">
      <c r="A6259"/>
    </row>
    <row r="6260" spans="1:1" ht="15" customHeight="1" x14ac:dyDescent="0.25">
      <c r="A6260"/>
    </row>
    <row r="6261" spans="1:1" ht="15" customHeight="1" x14ac:dyDescent="0.25">
      <c r="A6261"/>
    </row>
    <row r="6262" spans="1:1" ht="15" customHeight="1" x14ac:dyDescent="0.25">
      <c r="A6262"/>
    </row>
    <row r="6263" spans="1:1" ht="15" customHeight="1" x14ac:dyDescent="0.25">
      <c r="A6263"/>
    </row>
    <row r="6264" spans="1:1" ht="15" customHeight="1" x14ac:dyDescent="0.25">
      <c r="A6264"/>
    </row>
    <row r="6265" spans="1:1" ht="15" customHeight="1" x14ac:dyDescent="0.25">
      <c r="A6265"/>
    </row>
    <row r="6266" spans="1:1" ht="15" customHeight="1" x14ac:dyDescent="0.25">
      <c r="A6266"/>
    </row>
    <row r="6267" spans="1:1" ht="15" customHeight="1" x14ac:dyDescent="0.25">
      <c r="A6267"/>
    </row>
    <row r="6268" spans="1:1" ht="15" customHeight="1" x14ac:dyDescent="0.25">
      <c r="A6268"/>
    </row>
    <row r="6269" spans="1:1" ht="15" customHeight="1" x14ac:dyDescent="0.25">
      <c r="A6269"/>
    </row>
    <row r="6270" spans="1:1" ht="15" customHeight="1" x14ac:dyDescent="0.25">
      <c r="A6270"/>
    </row>
    <row r="6271" spans="1:1" ht="15" customHeight="1" x14ac:dyDescent="0.25">
      <c r="A6271"/>
    </row>
    <row r="6272" spans="1:1" ht="15" customHeight="1" x14ac:dyDescent="0.25">
      <c r="A6272"/>
    </row>
    <row r="6273" spans="1:1" ht="15" customHeight="1" x14ac:dyDescent="0.25">
      <c r="A6273"/>
    </row>
    <row r="6274" spans="1:1" ht="15" customHeight="1" x14ac:dyDescent="0.25">
      <c r="A6274"/>
    </row>
    <row r="6275" spans="1:1" ht="15" customHeight="1" x14ac:dyDescent="0.25">
      <c r="A6275"/>
    </row>
    <row r="6276" spans="1:1" ht="15" customHeight="1" x14ac:dyDescent="0.25">
      <c r="A6276"/>
    </row>
    <row r="6277" spans="1:1" ht="15" customHeight="1" x14ac:dyDescent="0.25">
      <c r="A6277"/>
    </row>
    <row r="6278" spans="1:1" ht="15" customHeight="1" x14ac:dyDescent="0.25">
      <c r="A6278"/>
    </row>
    <row r="6279" spans="1:1" ht="15" customHeight="1" x14ac:dyDescent="0.25">
      <c r="A6279"/>
    </row>
    <row r="6280" spans="1:1" ht="15" customHeight="1" x14ac:dyDescent="0.25">
      <c r="A6280"/>
    </row>
    <row r="6281" spans="1:1" ht="15" customHeight="1" x14ac:dyDescent="0.25">
      <c r="A6281"/>
    </row>
    <row r="6282" spans="1:1" ht="15" customHeight="1" x14ac:dyDescent="0.25">
      <c r="A6282"/>
    </row>
    <row r="6283" spans="1:1" ht="15" customHeight="1" x14ac:dyDescent="0.25">
      <c r="A6283"/>
    </row>
    <row r="6284" spans="1:1" ht="15" customHeight="1" x14ac:dyDescent="0.25">
      <c r="A6284"/>
    </row>
    <row r="6285" spans="1:1" ht="15" customHeight="1" x14ac:dyDescent="0.25">
      <c r="A6285"/>
    </row>
    <row r="6286" spans="1:1" ht="15" customHeight="1" x14ac:dyDescent="0.25">
      <c r="A6286"/>
    </row>
    <row r="6287" spans="1:1" ht="15" customHeight="1" x14ac:dyDescent="0.25">
      <c r="A6287"/>
    </row>
    <row r="6288" spans="1:1" ht="15" customHeight="1" x14ac:dyDescent="0.25">
      <c r="A6288"/>
    </row>
    <row r="6289" spans="1:1" ht="15" customHeight="1" x14ac:dyDescent="0.25">
      <c r="A6289"/>
    </row>
    <row r="6290" spans="1:1" ht="15" customHeight="1" x14ac:dyDescent="0.25">
      <c r="A6290"/>
    </row>
    <row r="6291" spans="1:1" ht="15" customHeight="1" x14ac:dyDescent="0.25">
      <c r="A6291"/>
    </row>
    <row r="6292" spans="1:1" ht="15" customHeight="1" x14ac:dyDescent="0.25">
      <c r="A6292"/>
    </row>
    <row r="6293" spans="1:1" ht="15" customHeight="1" x14ac:dyDescent="0.25">
      <c r="A6293"/>
    </row>
    <row r="6294" spans="1:1" ht="15" customHeight="1" x14ac:dyDescent="0.25">
      <c r="A6294"/>
    </row>
    <row r="6295" spans="1:1" ht="15" customHeight="1" x14ac:dyDescent="0.25">
      <c r="A6295"/>
    </row>
    <row r="6296" spans="1:1" ht="15" customHeight="1" x14ac:dyDescent="0.25">
      <c r="A6296"/>
    </row>
    <row r="6297" spans="1:1" ht="15" customHeight="1" x14ac:dyDescent="0.25">
      <c r="A6297"/>
    </row>
    <row r="6298" spans="1:1" ht="15" customHeight="1" x14ac:dyDescent="0.25">
      <c r="A6298"/>
    </row>
    <row r="6299" spans="1:1" ht="15" customHeight="1" x14ac:dyDescent="0.25">
      <c r="A6299"/>
    </row>
    <row r="6300" spans="1:1" ht="15" customHeight="1" x14ac:dyDescent="0.25">
      <c r="A6300"/>
    </row>
    <row r="6301" spans="1:1" ht="15" customHeight="1" x14ac:dyDescent="0.25">
      <c r="A6301"/>
    </row>
    <row r="6302" spans="1:1" ht="15" customHeight="1" x14ac:dyDescent="0.25">
      <c r="A6302"/>
    </row>
    <row r="6303" spans="1:1" ht="15" customHeight="1" x14ac:dyDescent="0.25">
      <c r="A6303"/>
    </row>
    <row r="6304" spans="1:1" ht="15" customHeight="1" x14ac:dyDescent="0.25">
      <c r="A6304"/>
    </row>
    <row r="6305" spans="1:1" ht="15" customHeight="1" x14ac:dyDescent="0.25">
      <c r="A6305"/>
    </row>
    <row r="6306" spans="1:1" ht="15" customHeight="1" x14ac:dyDescent="0.25">
      <c r="A6306"/>
    </row>
    <row r="6307" spans="1:1" ht="15" customHeight="1" x14ac:dyDescent="0.25">
      <c r="A6307"/>
    </row>
    <row r="6308" spans="1:1" ht="15" customHeight="1" x14ac:dyDescent="0.25">
      <c r="A6308"/>
    </row>
    <row r="6309" spans="1:1" ht="15" customHeight="1" x14ac:dyDescent="0.25">
      <c r="A6309"/>
    </row>
    <row r="6310" spans="1:1" ht="15" customHeight="1" x14ac:dyDescent="0.25">
      <c r="A6310"/>
    </row>
    <row r="6311" spans="1:1" ht="15" customHeight="1" x14ac:dyDescent="0.25">
      <c r="A6311"/>
    </row>
    <row r="6312" spans="1:1" ht="15" customHeight="1" x14ac:dyDescent="0.25">
      <c r="A6312"/>
    </row>
    <row r="6313" spans="1:1" ht="15" customHeight="1" x14ac:dyDescent="0.25">
      <c r="A6313"/>
    </row>
    <row r="6314" spans="1:1" ht="15" customHeight="1" x14ac:dyDescent="0.25">
      <c r="A6314"/>
    </row>
    <row r="6315" spans="1:1" ht="15" customHeight="1" x14ac:dyDescent="0.25">
      <c r="A6315"/>
    </row>
    <row r="6316" spans="1:1" ht="15" customHeight="1" x14ac:dyDescent="0.25">
      <c r="A6316"/>
    </row>
    <row r="6317" spans="1:1" ht="15" customHeight="1" x14ac:dyDescent="0.25">
      <c r="A6317"/>
    </row>
    <row r="6318" spans="1:1" ht="15" customHeight="1" x14ac:dyDescent="0.25">
      <c r="A6318"/>
    </row>
    <row r="6319" spans="1:1" ht="15" customHeight="1" x14ac:dyDescent="0.25">
      <c r="A6319"/>
    </row>
    <row r="6320" spans="1:1" ht="15" customHeight="1" x14ac:dyDescent="0.25">
      <c r="A6320"/>
    </row>
    <row r="6321" spans="1:1" ht="15" customHeight="1" x14ac:dyDescent="0.25">
      <c r="A6321"/>
    </row>
    <row r="6322" spans="1:1" ht="15" customHeight="1" x14ac:dyDescent="0.25">
      <c r="A6322"/>
    </row>
    <row r="6323" spans="1:1" ht="15" customHeight="1" x14ac:dyDescent="0.25">
      <c r="A6323"/>
    </row>
    <row r="6324" spans="1:1" ht="15" customHeight="1" x14ac:dyDescent="0.25">
      <c r="A6324"/>
    </row>
    <row r="6325" spans="1:1" ht="15" customHeight="1" x14ac:dyDescent="0.25">
      <c r="A6325"/>
    </row>
    <row r="6326" spans="1:1" ht="15" customHeight="1" x14ac:dyDescent="0.25">
      <c r="A6326"/>
    </row>
    <row r="6327" spans="1:1" ht="15" customHeight="1" x14ac:dyDescent="0.25">
      <c r="A6327"/>
    </row>
    <row r="6328" spans="1:1" ht="15" customHeight="1" x14ac:dyDescent="0.25">
      <c r="A6328"/>
    </row>
    <row r="6329" spans="1:1" ht="15" customHeight="1" x14ac:dyDescent="0.25">
      <c r="A6329"/>
    </row>
    <row r="6330" spans="1:1" ht="15" customHeight="1" x14ac:dyDescent="0.25">
      <c r="A6330"/>
    </row>
    <row r="6331" spans="1:1" ht="15" customHeight="1" x14ac:dyDescent="0.25">
      <c r="A6331"/>
    </row>
    <row r="6332" spans="1:1" ht="15" customHeight="1" x14ac:dyDescent="0.25">
      <c r="A6332"/>
    </row>
    <row r="6333" spans="1:1" ht="15" customHeight="1" x14ac:dyDescent="0.25">
      <c r="A6333"/>
    </row>
    <row r="6334" spans="1:1" ht="15" customHeight="1" x14ac:dyDescent="0.25">
      <c r="A6334"/>
    </row>
    <row r="6335" spans="1:1" ht="15" customHeight="1" x14ac:dyDescent="0.25">
      <c r="A6335"/>
    </row>
    <row r="6336" spans="1:1" ht="15" customHeight="1" x14ac:dyDescent="0.25">
      <c r="A6336"/>
    </row>
    <row r="6337" spans="1:1" ht="15" customHeight="1" x14ac:dyDescent="0.25">
      <c r="A6337"/>
    </row>
    <row r="6338" spans="1:1" ht="15" customHeight="1" x14ac:dyDescent="0.25">
      <c r="A6338"/>
    </row>
    <row r="6339" spans="1:1" ht="15" customHeight="1" x14ac:dyDescent="0.25">
      <c r="A6339"/>
    </row>
    <row r="6340" spans="1:1" ht="15" customHeight="1" x14ac:dyDescent="0.25">
      <c r="A6340"/>
    </row>
    <row r="6341" spans="1:1" ht="15" customHeight="1" x14ac:dyDescent="0.25">
      <c r="A6341"/>
    </row>
    <row r="6342" spans="1:1" ht="15" customHeight="1" x14ac:dyDescent="0.25">
      <c r="A6342"/>
    </row>
    <row r="6343" spans="1:1" ht="15" customHeight="1" x14ac:dyDescent="0.25">
      <c r="A6343"/>
    </row>
    <row r="6344" spans="1:1" ht="15" customHeight="1" x14ac:dyDescent="0.25">
      <c r="A6344"/>
    </row>
    <row r="6345" spans="1:1" ht="15" customHeight="1" x14ac:dyDescent="0.25">
      <c r="A6345"/>
    </row>
    <row r="6346" spans="1:1" ht="15" customHeight="1" x14ac:dyDescent="0.25">
      <c r="A6346"/>
    </row>
    <row r="6347" spans="1:1" ht="15" customHeight="1" x14ac:dyDescent="0.25">
      <c r="A6347"/>
    </row>
    <row r="6348" spans="1:1" ht="15" customHeight="1" x14ac:dyDescent="0.25">
      <c r="A6348"/>
    </row>
    <row r="6349" spans="1:1" ht="15" customHeight="1" x14ac:dyDescent="0.25">
      <c r="A6349"/>
    </row>
    <row r="6350" spans="1:1" ht="15" customHeight="1" x14ac:dyDescent="0.25">
      <c r="A6350"/>
    </row>
    <row r="6351" spans="1:1" ht="15" customHeight="1" x14ac:dyDescent="0.25">
      <c r="A6351"/>
    </row>
    <row r="6352" spans="1:1" ht="15" customHeight="1" x14ac:dyDescent="0.25">
      <c r="A6352"/>
    </row>
    <row r="6353" spans="1:1" ht="15" customHeight="1" x14ac:dyDescent="0.25">
      <c r="A6353"/>
    </row>
    <row r="6354" spans="1:1" ht="15" customHeight="1" x14ac:dyDescent="0.25">
      <c r="A6354"/>
    </row>
    <row r="6355" spans="1:1" ht="15" customHeight="1" x14ac:dyDescent="0.25">
      <c r="A6355"/>
    </row>
    <row r="6356" spans="1:1" ht="15" customHeight="1" x14ac:dyDescent="0.25">
      <c r="A6356"/>
    </row>
    <row r="6357" spans="1:1" ht="15" customHeight="1" x14ac:dyDescent="0.25">
      <c r="A6357"/>
    </row>
    <row r="6358" spans="1:1" ht="15" customHeight="1" x14ac:dyDescent="0.25">
      <c r="A6358"/>
    </row>
    <row r="6359" spans="1:1" ht="15" customHeight="1" x14ac:dyDescent="0.25">
      <c r="A6359"/>
    </row>
    <row r="6360" spans="1:1" ht="15" customHeight="1" x14ac:dyDescent="0.25">
      <c r="A6360"/>
    </row>
    <row r="6361" spans="1:1" ht="15" customHeight="1" x14ac:dyDescent="0.25">
      <c r="A6361"/>
    </row>
    <row r="6362" spans="1:1" ht="15" customHeight="1" x14ac:dyDescent="0.25">
      <c r="A6362"/>
    </row>
    <row r="6363" spans="1:1" ht="15" customHeight="1" x14ac:dyDescent="0.25">
      <c r="A6363"/>
    </row>
    <row r="6364" spans="1:1" ht="15" customHeight="1" x14ac:dyDescent="0.25">
      <c r="A6364"/>
    </row>
    <row r="6365" spans="1:1" ht="15" customHeight="1" x14ac:dyDescent="0.25">
      <c r="A6365"/>
    </row>
    <row r="6366" spans="1:1" ht="15" customHeight="1" x14ac:dyDescent="0.25">
      <c r="A6366"/>
    </row>
    <row r="6367" spans="1:1" ht="15" customHeight="1" x14ac:dyDescent="0.25">
      <c r="A6367"/>
    </row>
    <row r="6368" spans="1:1" ht="15" customHeight="1" x14ac:dyDescent="0.25">
      <c r="A6368"/>
    </row>
    <row r="6369" spans="1:1" ht="15" customHeight="1" x14ac:dyDescent="0.25">
      <c r="A6369"/>
    </row>
    <row r="6370" spans="1:1" ht="15" customHeight="1" x14ac:dyDescent="0.25">
      <c r="A6370"/>
    </row>
    <row r="6371" spans="1:1" ht="15" customHeight="1" x14ac:dyDescent="0.25">
      <c r="A6371"/>
    </row>
    <row r="6372" spans="1:1" ht="15" customHeight="1" x14ac:dyDescent="0.25">
      <c r="A6372"/>
    </row>
    <row r="6373" spans="1:1" ht="15" customHeight="1" x14ac:dyDescent="0.25">
      <c r="A6373"/>
    </row>
    <row r="6374" spans="1:1" ht="15" customHeight="1" x14ac:dyDescent="0.25">
      <c r="A6374"/>
    </row>
    <row r="6375" spans="1:1" ht="15" customHeight="1" x14ac:dyDescent="0.25">
      <c r="A6375"/>
    </row>
    <row r="6376" spans="1:1" ht="15" customHeight="1" x14ac:dyDescent="0.25">
      <c r="A6376"/>
    </row>
    <row r="6377" spans="1:1" ht="15" customHeight="1" x14ac:dyDescent="0.25">
      <c r="A6377"/>
    </row>
    <row r="6378" spans="1:1" ht="15" customHeight="1" x14ac:dyDescent="0.25">
      <c r="A6378"/>
    </row>
    <row r="6379" spans="1:1" ht="15" customHeight="1" x14ac:dyDescent="0.25">
      <c r="A6379"/>
    </row>
    <row r="6380" spans="1:1" ht="15" customHeight="1" x14ac:dyDescent="0.25">
      <c r="A6380"/>
    </row>
    <row r="6381" spans="1:1" ht="15" customHeight="1" x14ac:dyDescent="0.25">
      <c r="A6381"/>
    </row>
    <row r="6382" spans="1:1" ht="15" customHeight="1" x14ac:dyDescent="0.25">
      <c r="A6382"/>
    </row>
    <row r="6383" spans="1:1" ht="15" customHeight="1" x14ac:dyDescent="0.25">
      <c r="A6383"/>
    </row>
    <row r="6384" spans="1:1" ht="15" customHeight="1" x14ac:dyDescent="0.25">
      <c r="A6384"/>
    </row>
    <row r="6385" spans="1:1" ht="15" customHeight="1" x14ac:dyDescent="0.25">
      <c r="A6385"/>
    </row>
    <row r="6386" spans="1:1" ht="15" customHeight="1" x14ac:dyDescent="0.25">
      <c r="A6386"/>
    </row>
    <row r="6387" spans="1:1" ht="15" customHeight="1" x14ac:dyDescent="0.25">
      <c r="A6387"/>
    </row>
    <row r="6388" spans="1:1" ht="15" customHeight="1" x14ac:dyDescent="0.25">
      <c r="A6388"/>
    </row>
    <row r="6389" spans="1:1" ht="15" customHeight="1" x14ac:dyDescent="0.25">
      <c r="A6389"/>
    </row>
    <row r="6390" spans="1:1" ht="15" customHeight="1" x14ac:dyDescent="0.25">
      <c r="A6390"/>
    </row>
    <row r="6391" spans="1:1" ht="15" customHeight="1" x14ac:dyDescent="0.25">
      <c r="A6391"/>
    </row>
    <row r="6392" spans="1:1" ht="15" customHeight="1" x14ac:dyDescent="0.25">
      <c r="A6392"/>
    </row>
    <row r="6393" spans="1:1" ht="15" customHeight="1" x14ac:dyDescent="0.25">
      <c r="A6393"/>
    </row>
    <row r="6394" spans="1:1" ht="15" customHeight="1" x14ac:dyDescent="0.25">
      <c r="A6394"/>
    </row>
    <row r="6395" spans="1:1" ht="15" customHeight="1" x14ac:dyDescent="0.25">
      <c r="A6395"/>
    </row>
    <row r="6396" spans="1:1" ht="15" customHeight="1" x14ac:dyDescent="0.25">
      <c r="A6396"/>
    </row>
    <row r="6397" spans="1:1" ht="15" customHeight="1" x14ac:dyDescent="0.25">
      <c r="A6397"/>
    </row>
    <row r="6398" spans="1:1" ht="15" customHeight="1" x14ac:dyDescent="0.25">
      <c r="A6398"/>
    </row>
    <row r="6399" spans="1:1" ht="15" customHeight="1" x14ac:dyDescent="0.25">
      <c r="A6399"/>
    </row>
    <row r="6400" spans="1:1" ht="15" customHeight="1" x14ac:dyDescent="0.25">
      <c r="A6400"/>
    </row>
    <row r="6401" spans="1:1" ht="15" customHeight="1" x14ac:dyDescent="0.25">
      <c r="A6401"/>
    </row>
    <row r="6402" spans="1:1" ht="15" customHeight="1" x14ac:dyDescent="0.25">
      <c r="A6402"/>
    </row>
    <row r="6403" spans="1:1" ht="15" customHeight="1" x14ac:dyDescent="0.25">
      <c r="A6403"/>
    </row>
    <row r="6404" spans="1:1" ht="15" customHeight="1" x14ac:dyDescent="0.25">
      <c r="A6404"/>
    </row>
    <row r="6405" spans="1:1" ht="15" customHeight="1" x14ac:dyDescent="0.25">
      <c r="A6405"/>
    </row>
    <row r="6406" spans="1:1" ht="15" customHeight="1" x14ac:dyDescent="0.25">
      <c r="A6406"/>
    </row>
    <row r="6407" spans="1:1" ht="15" customHeight="1" x14ac:dyDescent="0.25">
      <c r="A6407"/>
    </row>
    <row r="6408" spans="1:1" ht="15" customHeight="1" x14ac:dyDescent="0.25">
      <c r="A6408"/>
    </row>
    <row r="6409" spans="1:1" ht="15" customHeight="1" x14ac:dyDescent="0.25">
      <c r="A6409"/>
    </row>
    <row r="6410" spans="1:1" ht="15" customHeight="1" x14ac:dyDescent="0.25">
      <c r="A6410"/>
    </row>
    <row r="6411" spans="1:1" ht="15" customHeight="1" x14ac:dyDescent="0.25">
      <c r="A6411"/>
    </row>
    <row r="6412" spans="1:1" ht="15" customHeight="1" x14ac:dyDescent="0.25">
      <c r="A6412"/>
    </row>
    <row r="6413" spans="1:1" ht="15" customHeight="1" x14ac:dyDescent="0.25">
      <c r="A6413"/>
    </row>
    <row r="6414" spans="1:1" ht="15" customHeight="1" x14ac:dyDescent="0.25">
      <c r="A6414"/>
    </row>
    <row r="6415" spans="1:1" ht="15" customHeight="1" x14ac:dyDescent="0.25">
      <c r="A6415"/>
    </row>
    <row r="6416" spans="1:1" ht="15" customHeight="1" x14ac:dyDescent="0.25">
      <c r="A6416"/>
    </row>
    <row r="6417" spans="1:1" ht="15" customHeight="1" x14ac:dyDescent="0.25">
      <c r="A6417"/>
    </row>
    <row r="6418" spans="1:1" ht="15" customHeight="1" x14ac:dyDescent="0.25">
      <c r="A6418"/>
    </row>
    <row r="6419" spans="1:1" ht="15" customHeight="1" x14ac:dyDescent="0.25">
      <c r="A6419"/>
    </row>
    <row r="6420" spans="1:1" ht="15" customHeight="1" x14ac:dyDescent="0.25">
      <c r="A6420"/>
    </row>
    <row r="6421" spans="1:1" ht="15" customHeight="1" x14ac:dyDescent="0.25">
      <c r="A6421"/>
    </row>
    <row r="6422" spans="1:1" ht="15" customHeight="1" x14ac:dyDescent="0.25">
      <c r="A6422"/>
    </row>
    <row r="6423" spans="1:1" ht="15" customHeight="1" x14ac:dyDescent="0.25">
      <c r="A6423"/>
    </row>
    <row r="6424" spans="1:1" ht="15" customHeight="1" x14ac:dyDescent="0.25">
      <c r="A6424"/>
    </row>
    <row r="6425" spans="1:1" ht="15" customHeight="1" x14ac:dyDescent="0.25">
      <c r="A6425"/>
    </row>
    <row r="6426" spans="1:1" ht="15" customHeight="1" x14ac:dyDescent="0.25">
      <c r="A6426"/>
    </row>
    <row r="6427" spans="1:1" ht="15" customHeight="1" x14ac:dyDescent="0.25">
      <c r="A6427"/>
    </row>
    <row r="6428" spans="1:1" ht="15" customHeight="1" x14ac:dyDescent="0.25">
      <c r="A6428"/>
    </row>
    <row r="6429" spans="1:1" ht="15" customHeight="1" x14ac:dyDescent="0.25">
      <c r="A6429"/>
    </row>
    <row r="6430" spans="1:1" ht="15" customHeight="1" x14ac:dyDescent="0.25">
      <c r="A6430"/>
    </row>
    <row r="6431" spans="1:1" ht="15" customHeight="1" x14ac:dyDescent="0.25">
      <c r="A6431"/>
    </row>
    <row r="6432" spans="1:1" ht="15" customHeight="1" x14ac:dyDescent="0.25">
      <c r="A6432"/>
    </row>
    <row r="6433" spans="1:1" ht="15" customHeight="1" x14ac:dyDescent="0.25">
      <c r="A6433"/>
    </row>
    <row r="6434" spans="1:1" ht="15" customHeight="1" x14ac:dyDescent="0.25">
      <c r="A6434"/>
    </row>
    <row r="6435" spans="1:1" ht="15" customHeight="1" x14ac:dyDescent="0.25">
      <c r="A6435"/>
    </row>
    <row r="6436" spans="1:1" ht="15" customHeight="1" x14ac:dyDescent="0.25">
      <c r="A6436"/>
    </row>
    <row r="6437" spans="1:1" ht="15" customHeight="1" x14ac:dyDescent="0.25">
      <c r="A6437"/>
    </row>
    <row r="6438" spans="1:1" ht="15" customHeight="1" x14ac:dyDescent="0.25">
      <c r="A6438"/>
    </row>
    <row r="6439" spans="1:1" ht="15" customHeight="1" x14ac:dyDescent="0.25">
      <c r="A6439"/>
    </row>
    <row r="6440" spans="1:1" ht="15" customHeight="1" x14ac:dyDescent="0.25">
      <c r="A6440"/>
    </row>
    <row r="6441" spans="1:1" ht="15" customHeight="1" x14ac:dyDescent="0.25">
      <c r="A6441"/>
    </row>
    <row r="6442" spans="1:1" ht="15" customHeight="1" x14ac:dyDescent="0.25">
      <c r="A6442"/>
    </row>
    <row r="6443" spans="1:1" ht="15" customHeight="1" x14ac:dyDescent="0.25">
      <c r="A6443"/>
    </row>
    <row r="6444" spans="1:1" ht="15" customHeight="1" x14ac:dyDescent="0.25">
      <c r="A6444"/>
    </row>
    <row r="6445" spans="1:1" ht="15" customHeight="1" x14ac:dyDescent="0.25">
      <c r="A6445"/>
    </row>
    <row r="6446" spans="1:1" ht="15" customHeight="1" x14ac:dyDescent="0.25">
      <c r="A6446"/>
    </row>
    <row r="6447" spans="1:1" ht="15" customHeight="1" x14ac:dyDescent="0.25">
      <c r="A6447"/>
    </row>
    <row r="6448" spans="1:1" ht="15" customHeight="1" x14ac:dyDescent="0.25">
      <c r="A6448"/>
    </row>
    <row r="6449" spans="1:1" ht="15" customHeight="1" x14ac:dyDescent="0.25">
      <c r="A6449"/>
    </row>
    <row r="6450" spans="1:1" ht="15" customHeight="1" x14ac:dyDescent="0.25">
      <c r="A6450"/>
    </row>
    <row r="6451" spans="1:1" ht="15" customHeight="1" x14ac:dyDescent="0.25">
      <c r="A6451"/>
    </row>
    <row r="6452" spans="1:1" ht="15" customHeight="1" x14ac:dyDescent="0.25">
      <c r="A6452"/>
    </row>
    <row r="6453" spans="1:1" ht="15" customHeight="1" x14ac:dyDescent="0.25">
      <c r="A6453"/>
    </row>
    <row r="6454" spans="1:1" ht="15" customHeight="1" x14ac:dyDescent="0.25">
      <c r="A6454"/>
    </row>
    <row r="6455" spans="1:1" ht="15" customHeight="1" x14ac:dyDescent="0.25">
      <c r="A6455"/>
    </row>
    <row r="6456" spans="1:1" ht="15" customHeight="1" x14ac:dyDescent="0.25">
      <c r="A6456"/>
    </row>
    <row r="6457" spans="1:1" ht="15" customHeight="1" x14ac:dyDescent="0.25">
      <c r="A6457"/>
    </row>
    <row r="6458" spans="1:1" ht="15" customHeight="1" x14ac:dyDescent="0.25">
      <c r="A6458"/>
    </row>
    <row r="6459" spans="1:1" ht="15" customHeight="1" x14ac:dyDescent="0.25">
      <c r="A6459"/>
    </row>
    <row r="6460" spans="1:1" ht="15" customHeight="1" x14ac:dyDescent="0.25">
      <c r="A6460"/>
    </row>
    <row r="6461" spans="1:1" ht="15" customHeight="1" x14ac:dyDescent="0.25">
      <c r="A6461"/>
    </row>
    <row r="6462" spans="1:1" ht="15" customHeight="1" x14ac:dyDescent="0.25">
      <c r="A6462"/>
    </row>
    <row r="6463" spans="1:1" ht="15" customHeight="1" x14ac:dyDescent="0.25">
      <c r="A6463"/>
    </row>
    <row r="6464" spans="1:1" ht="15" customHeight="1" x14ac:dyDescent="0.25">
      <c r="A6464"/>
    </row>
    <row r="6465" spans="1:1" ht="15" customHeight="1" x14ac:dyDescent="0.25">
      <c r="A6465"/>
    </row>
    <row r="6466" spans="1:1" ht="15" customHeight="1" x14ac:dyDescent="0.25">
      <c r="A6466"/>
    </row>
    <row r="6467" spans="1:1" ht="15" customHeight="1" x14ac:dyDescent="0.25">
      <c r="A6467"/>
    </row>
    <row r="6468" spans="1:1" ht="15" customHeight="1" x14ac:dyDescent="0.25">
      <c r="A6468"/>
    </row>
    <row r="6469" spans="1:1" ht="15" customHeight="1" x14ac:dyDescent="0.25">
      <c r="A6469"/>
    </row>
    <row r="6470" spans="1:1" ht="15" customHeight="1" x14ac:dyDescent="0.25">
      <c r="A6470"/>
    </row>
    <row r="6471" spans="1:1" ht="15" customHeight="1" x14ac:dyDescent="0.25">
      <c r="A6471"/>
    </row>
    <row r="6472" spans="1:1" ht="15" customHeight="1" x14ac:dyDescent="0.25">
      <c r="A6472"/>
    </row>
    <row r="6473" spans="1:1" ht="15" customHeight="1" x14ac:dyDescent="0.25">
      <c r="A6473"/>
    </row>
    <row r="6474" spans="1:1" ht="15" customHeight="1" x14ac:dyDescent="0.25">
      <c r="A6474"/>
    </row>
    <row r="6475" spans="1:1" ht="15" customHeight="1" x14ac:dyDescent="0.25">
      <c r="A6475"/>
    </row>
    <row r="6476" spans="1:1" ht="15" customHeight="1" x14ac:dyDescent="0.25">
      <c r="A6476"/>
    </row>
    <row r="6477" spans="1:1" ht="15" customHeight="1" x14ac:dyDescent="0.25">
      <c r="A6477"/>
    </row>
    <row r="6478" spans="1:1" ht="15" customHeight="1" x14ac:dyDescent="0.25">
      <c r="A6478"/>
    </row>
    <row r="6479" spans="1:1" ht="15" customHeight="1" x14ac:dyDescent="0.25">
      <c r="A6479"/>
    </row>
    <row r="6480" spans="1:1" ht="15" customHeight="1" x14ac:dyDescent="0.25">
      <c r="A6480"/>
    </row>
    <row r="6481" spans="1:1" ht="15" customHeight="1" x14ac:dyDescent="0.25">
      <c r="A6481"/>
    </row>
    <row r="6482" spans="1:1" ht="15" customHeight="1" x14ac:dyDescent="0.25">
      <c r="A6482"/>
    </row>
    <row r="6483" spans="1:1" ht="15" customHeight="1" x14ac:dyDescent="0.25">
      <c r="A6483"/>
    </row>
    <row r="6484" spans="1:1" ht="15" customHeight="1" x14ac:dyDescent="0.25">
      <c r="A6484"/>
    </row>
    <row r="6485" spans="1:1" ht="15" customHeight="1" x14ac:dyDescent="0.25">
      <c r="A6485"/>
    </row>
    <row r="6486" spans="1:1" ht="15" customHeight="1" x14ac:dyDescent="0.25">
      <c r="A6486"/>
    </row>
    <row r="6487" spans="1:1" ht="15" customHeight="1" x14ac:dyDescent="0.25">
      <c r="A6487"/>
    </row>
    <row r="6488" spans="1:1" ht="15" customHeight="1" x14ac:dyDescent="0.25">
      <c r="A6488"/>
    </row>
    <row r="6489" spans="1:1" ht="15" customHeight="1" x14ac:dyDescent="0.25">
      <c r="A6489"/>
    </row>
    <row r="6490" spans="1:1" ht="15" customHeight="1" x14ac:dyDescent="0.25">
      <c r="A6490"/>
    </row>
    <row r="6491" spans="1:1" ht="15" customHeight="1" x14ac:dyDescent="0.25">
      <c r="A6491"/>
    </row>
    <row r="6492" spans="1:1" ht="15" customHeight="1" x14ac:dyDescent="0.25">
      <c r="A6492"/>
    </row>
    <row r="6493" spans="1:1" ht="15" customHeight="1" x14ac:dyDescent="0.25">
      <c r="A6493"/>
    </row>
    <row r="6494" spans="1:1" ht="15" customHeight="1" x14ac:dyDescent="0.25">
      <c r="A6494"/>
    </row>
    <row r="6495" spans="1:1" ht="15" customHeight="1" x14ac:dyDescent="0.25">
      <c r="A6495"/>
    </row>
    <row r="6496" spans="1:1" ht="15" customHeight="1" x14ac:dyDescent="0.25">
      <c r="A6496"/>
    </row>
    <row r="6497" spans="1:1" ht="15" customHeight="1" x14ac:dyDescent="0.25">
      <c r="A6497"/>
    </row>
    <row r="6498" spans="1:1" ht="15" customHeight="1" x14ac:dyDescent="0.25">
      <c r="A6498"/>
    </row>
    <row r="6499" spans="1:1" ht="15" customHeight="1" x14ac:dyDescent="0.25">
      <c r="A6499"/>
    </row>
    <row r="6500" spans="1:1" ht="15" customHeight="1" x14ac:dyDescent="0.25">
      <c r="A6500"/>
    </row>
    <row r="6501" spans="1:1" ht="15" customHeight="1" x14ac:dyDescent="0.25">
      <c r="A6501"/>
    </row>
    <row r="6502" spans="1:1" ht="15" customHeight="1" x14ac:dyDescent="0.25">
      <c r="A6502"/>
    </row>
    <row r="6503" spans="1:1" ht="15" customHeight="1" x14ac:dyDescent="0.25">
      <c r="A6503"/>
    </row>
    <row r="6504" spans="1:1" ht="15" customHeight="1" x14ac:dyDescent="0.25">
      <c r="A6504"/>
    </row>
    <row r="6505" spans="1:1" ht="15" customHeight="1" x14ac:dyDescent="0.25">
      <c r="A6505"/>
    </row>
    <row r="6506" spans="1:1" ht="15" customHeight="1" x14ac:dyDescent="0.25">
      <c r="A6506"/>
    </row>
    <row r="6507" spans="1:1" ht="15" customHeight="1" x14ac:dyDescent="0.25">
      <c r="A6507"/>
    </row>
    <row r="6508" spans="1:1" ht="15" customHeight="1" x14ac:dyDescent="0.25">
      <c r="A6508"/>
    </row>
    <row r="6509" spans="1:1" ht="15" customHeight="1" x14ac:dyDescent="0.25">
      <c r="A6509"/>
    </row>
    <row r="6510" spans="1:1" ht="15" customHeight="1" x14ac:dyDescent="0.25">
      <c r="A6510"/>
    </row>
    <row r="6511" spans="1:1" ht="15" customHeight="1" x14ac:dyDescent="0.25">
      <c r="A6511"/>
    </row>
    <row r="6512" spans="1:1" ht="15" customHeight="1" x14ac:dyDescent="0.25">
      <c r="A6512"/>
    </row>
    <row r="6513" spans="1:1" ht="15" customHeight="1" x14ac:dyDescent="0.25">
      <c r="A6513"/>
    </row>
    <row r="6514" spans="1:1" ht="15" customHeight="1" x14ac:dyDescent="0.25">
      <c r="A6514"/>
    </row>
    <row r="6515" spans="1:1" ht="15" customHeight="1" x14ac:dyDescent="0.25">
      <c r="A6515"/>
    </row>
    <row r="6516" spans="1:1" ht="15" customHeight="1" x14ac:dyDescent="0.25">
      <c r="A6516"/>
    </row>
    <row r="6517" spans="1:1" ht="15" customHeight="1" x14ac:dyDescent="0.25">
      <c r="A6517"/>
    </row>
    <row r="6518" spans="1:1" ht="15" customHeight="1" x14ac:dyDescent="0.25">
      <c r="A6518"/>
    </row>
    <row r="6519" spans="1:1" ht="15" customHeight="1" x14ac:dyDescent="0.25">
      <c r="A6519"/>
    </row>
    <row r="6520" spans="1:1" ht="15" customHeight="1" x14ac:dyDescent="0.25">
      <c r="A6520"/>
    </row>
    <row r="6521" spans="1:1" ht="15" customHeight="1" x14ac:dyDescent="0.25">
      <c r="A6521"/>
    </row>
    <row r="6522" spans="1:1" ht="15" customHeight="1" x14ac:dyDescent="0.25">
      <c r="A6522"/>
    </row>
    <row r="6523" spans="1:1" ht="15" customHeight="1" x14ac:dyDescent="0.25">
      <c r="A6523"/>
    </row>
    <row r="6524" spans="1:1" ht="15" customHeight="1" x14ac:dyDescent="0.25">
      <c r="A6524"/>
    </row>
    <row r="6525" spans="1:1" ht="15" customHeight="1" x14ac:dyDescent="0.25">
      <c r="A6525"/>
    </row>
    <row r="6526" spans="1:1" ht="15" customHeight="1" x14ac:dyDescent="0.25">
      <c r="A6526"/>
    </row>
    <row r="6527" spans="1:1" ht="15" customHeight="1" x14ac:dyDescent="0.25">
      <c r="A6527"/>
    </row>
    <row r="6528" spans="1:1" ht="15" customHeight="1" x14ac:dyDescent="0.25">
      <c r="A6528"/>
    </row>
    <row r="6529" spans="1:1" ht="15" customHeight="1" x14ac:dyDescent="0.25">
      <c r="A6529"/>
    </row>
    <row r="6530" spans="1:1" ht="15" customHeight="1" x14ac:dyDescent="0.25">
      <c r="A6530"/>
    </row>
    <row r="6531" spans="1:1" ht="15" customHeight="1" x14ac:dyDescent="0.25">
      <c r="A6531"/>
    </row>
    <row r="6532" spans="1:1" ht="15" customHeight="1" x14ac:dyDescent="0.25">
      <c r="A6532"/>
    </row>
    <row r="6533" spans="1:1" ht="15" customHeight="1" x14ac:dyDescent="0.25">
      <c r="A6533"/>
    </row>
    <row r="6534" spans="1:1" ht="15" customHeight="1" x14ac:dyDescent="0.25">
      <c r="A6534"/>
    </row>
    <row r="6535" spans="1:1" ht="15" customHeight="1" x14ac:dyDescent="0.25">
      <c r="A6535"/>
    </row>
    <row r="6536" spans="1:1" ht="15" customHeight="1" x14ac:dyDescent="0.25">
      <c r="A6536"/>
    </row>
    <row r="6537" spans="1:1" ht="15" customHeight="1" x14ac:dyDescent="0.25">
      <c r="A6537"/>
    </row>
    <row r="6538" spans="1:1" ht="15" customHeight="1" x14ac:dyDescent="0.25">
      <c r="A6538"/>
    </row>
    <row r="6539" spans="1:1" ht="15" customHeight="1" x14ac:dyDescent="0.25">
      <c r="A6539"/>
    </row>
    <row r="6540" spans="1:1" ht="15" customHeight="1" x14ac:dyDescent="0.25">
      <c r="A6540"/>
    </row>
    <row r="6541" spans="1:1" ht="15" customHeight="1" x14ac:dyDescent="0.25">
      <c r="A6541"/>
    </row>
    <row r="6542" spans="1:1" ht="15" customHeight="1" x14ac:dyDescent="0.25">
      <c r="A6542"/>
    </row>
    <row r="6543" spans="1:1" ht="15" customHeight="1" x14ac:dyDescent="0.25">
      <c r="A6543"/>
    </row>
    <row r="6544" spans="1:1" ht="15" customHeight="1" x14ac:dyDescent="0.25">
      <c r="A6544"/>
    </row>
    <row r="6545" spans="1:1" ht="15" customHeight="1" x14ac:dyDescent="0.25">
      <c r="A6545"/>
    </row>
    <row r="6546" spans="1:1" ht="15" customHeight="1" x14ac:dyDescent="0.25">
      <c r="A6546"/>
    </row>
    <row r="6547" spans="1:1" ht="15" customHeight="1" x14ac:dyDescent="0.25">
      <c r="A6547"/>
    </row>
    <row r="6548" spans="1:1" ht="15" customHeight="1" x14ac:dyDescent="0.25">
      <c r="A6548"/>
    </row>
    <row r="6549" spans="1:1" ht="15" customHeight="1" x14ac:dyDescent="0.25">
      <c r="A6549"/>
    </row>
    <row r="6550" spans="1:1" ht="15" customHeight="1" x14ac:dyDescent="0.25">
      <c r="A6550"/>
    </row>
    <row r="6551" spans="1:1" ht="15" customHeight="1" x14ac:dyDescent="0.25">
      <c r="A6551"/>
    </row>
    <row r="6552" spans="1:1" ht="15" customHeight="1" x14ac:dyDescent="0.25">
      <c r="A6552"/>
    </row>
    <row r="6553" spans="1:1" ht="15" customHeight="1" x14ac:dyDescent="0.25">
      <c r="A6553"/>
    </row>
    <row r="6554" spans="1:1" ht="15" customHeight="1" x14ac:dyDescent="0.25">
      <c r="A6554"/>
    </row>
    <row r="6555" spans="1:1" ht="15" customHeight="1" x14ac:dyDescent="0.25">
      <c r="A6555"/>
    </row>
    <row r="6556" spans="1:1" ht="15" customHeight="1" x14ac:dyDescent="0.25">
      <c r="A6556"/>
    </row>
    <row r="6557" spans="1:1" ht="15" customHeight="1" x14ac:dyDescent="0.25">
      <c r="A6557"/>
    </row>
    <row r="6558" spans="1:1" ht="15" customHeight="1" x14ac:dyDescent="0.25">
      <c r="A6558"/>
    </row>
    <row r="6559" spans="1:1" ht="15" customHeight="1" x14ac:dyDescent="0.25">
      <c r="A6559"/>
    </row>
    <row r="6560" spans="1:1" ht="15" customHeight="1" x14ac:dyDescent="0.25">
      <c r="A6560"/>
    </row>
    <row r="6561" spans="1:1" ht="15" customHeight="1" x14ac:dyDescent="0.25">
      <c r="A6561"/>
    </row>
    <row r="6562" spans="1:1" ht="15" customHeight="1" x14ac:dyDescent="0.25">
      <c r="A6562"/>
    </row>
    <row r="6563" spans="1:1" ht="15" customHeight="1" x14ac:dyDescent="0.25">
      <c r="A6563"/>
    </row>
    <row r="6564" spans="1:1" ht="15" customHeight="1" x14ac:dyDescent="0.25">
      <c r="A6564"/>
    </row>
    <row r="6565" spans="1:1" ht="15" customHeight="1" x14ac:dyDescent="0.25">
      <c r="A6565"/>
    </row>
    <row r="6566" spans="1:1" ht="15" customHeight="1" x14ac:dyDescent="0.25">
      <c r="A6566"/>
    </row>
    <row r="6567" spans="1:1" ht="15" customHeight="1" x14ac:dyDescent="0.25">
      <c r="A6567"/>
    </row>
    <row r="6568" spans="1:1" ht="15" customHeight="1" x14ac:dyDescent="0.25">
      <c r="A6568"/>
    </row>
    <row r="6569" spans="1:1" ht="15" customHeight="1" x14ac:dyDescent="0.25">
      <c r="A6569"/>
    </row>
    <row r="6570" spans="1:1" ht="15" customHeight="1" x14ac:dyDescent="0.25">
      <c r="A6570"/>
    </row>
    <row r="6571" spans="1:1" ht="15" customHeight="1" x14ac:dyDescent="0.25">
      <c r="A6571"/>
    </row>
    <row r="6572" spans="1:1" ht="15" customHeight="1" x14ac:dyDescent="0.25">
      <c r="A6572"/>
    </row>
    <row r="6573" spans="1:1" ht="15" customHeight="1" x14ac:dyDescent="0.25">
      <c r="A6573"/>
    </row>
    <row r="6574" spans="1:1" ht="15" customHeight="1" x14ac:dyDescent="0.25">
      <c r="A6574"/>
    </row>
    <row r="6575" spans="1:1" ht="15" customHeight="1" x14ac:dyDescent="0.25">
      <c r="A6575"/>
    </row>
    <row r="6576" spans="1:1" ht="15" customHeight="1" x14ac:dyDescent="0.25">
      <c r="A6576"/>
    </row>
    <row r="6577" spans="1:1" ht="15" customHeight="1" x14ac:dyDescent="0.25">
      <c r="A6577"/>
    </row>
    <row r="6578" spans="1:1" ht="15" customHeight="1" x14ac:dyDescent="0.25">
      <c r="A6578"/>
    </row>
    <row r="6579" spans="1:1" ht="15" customHeight="1" x14ac:dyDescent="0.25">
      <c r="A6579"/>
    </row>
    <row r="6580" spans="1:1" ht="15" customHeight="1" x14ac:dyDescent="0.25">
      <c r="A6580"/>
    </row>
    <row r="6581" spans="1:1" ht="15" customHeight="1" x14ac:dyDescent="0.25">
      <c r="A6581"/>
    </row>
    <row r="6582" spans="1:1" ht="15" customHeight="1" x14ac:dyDescent="0.25">
      <c r="A6582"/>
    </row>
    <row r="6583" spans="1:1" ht="15" customHeight="1" x14ac:dyDescent="0.25">
      <c r="A6583"/>
    </row>
    <row r="6584" spans="1:1" ht="15" customHeight="1" x14ac:dyDescent="0.25">
      <c r="A6584"/>
    </row>
    <row r="6585" spans="1:1" ht="15" customHeight="1" x14ac:dyDescent="0.25">
      <c r="A6585"/>
    </row>
    <row r="6586" spans="1:1" ht="15" customHeight="1" x14ac:dyDescent="0.25">
      <c r="A6586"/>
    </row>
    <row r="6587" spans="1:1" ht="15" customHeight="1" x14ac:dyDescent="0.25">
      <c r="A6587"/>
    </row>
    <row r="6588" spans="1:1" ht="15" customHeight="1" x14ac:dyDescent="0.25">
      <c r="A6588"/>
    </row>
    <row r="6589" spans="1:1" ht="15" customHeight="1" x14ac:dyDescent="0.25">
      <c r="A6589"/>
    </row>
    <row r="6590" spans="1:1" ht="15" customHeight="1" x14ac:dyDescent="0.25">
      <c r="A6590"/>
    </row>
    <row r="6591" spans="1:1" ht="15" customHeight="1" x14ac:dyDescent="0.25">
      <c r="A6591"/>
    </row>
    <row r="6592" spans="1:1" ht="15" customHeight="1" x14ac:dyDescent="0.25">
      <c r="A6592"/>
    </row>
    <row r="6593" spans="1:1" ht="15" customHeight="1" x14ac:dyDescent="0.25">
      <c r="A6593"/>
    </row>
    <row r="6594" spans="1:1" ht="15" customHeight="1" x14ac:dyDescent="0.25">
      <c r="A6594"/>
    </row>
    <row r="6595" spans="1:1" ht="15" customHeight="1" x14ac:dyDescent="0.25">
      <c r="A6595"/>
    </row>
    <row r="6596" spans="1:1" ht="15" customHeight="1" x14ac:dyDescent="0.25">
      <c r="A6596"/>
    </row>
    <row r="6597" spans="1:1" ht="15" customHeight="1" x14ac:dyDescent="0.25">
      <c r="A6597"/>
    </row>
    <row r="6598" spans="1:1" ht="15" customHeight="1" x14ac:dyDescent="0.25">
      <c r="A6598"/>
    </row>
    <row r="6599" spans="1:1" ht="15" customHeight="1" x14ac:dyDescent="0.25">
      <c r="A6599"/>
    </row>
    <row r="6600" spans="1:1" ht="15" customHeight="1" x14ac:dyDescent="0.25">
      <c r="A6600"/>
    </row>
    <row r="6601" spans="1:1" ht="15" customHeight="1" x14ac:dyDescent="0.25">
      <c r="A6601"/>
    </row>
    <row r="6602" spans="1:1" ht="15" customHeight="1" x14ac:dyDescent="0.25">
      <c r="A6602"/>
    </row>
    <row r="6603" spans="1:1" ht="15" customHeight="1" x14ac:dyDescent="0.25">
      <c r="A6603"/>
    </row>
    <row r="6604" spans="1:1" ht="15" customHeight="1" x14ac:dyDescent="0.25">
      <c r="A6604"/>
    </row>
    <row r="6605" spans="1:1" ht="15" customHeight="1" x14ac:dyDescent="0.25">
      <c r="A6605"/>
    </row>
    <row r="6606" spans="1:1" ht="15" customHeight="1" x14ac:dyDescent="0.25">
      <c r="A6606"/>
    </row>
    <row r="6607" spans="1:1" ht="15" customHeight="1" x14ac:dyDescent="0.25">
      <c r="A6607"/>
    </row>
    <row r="6608" spans="1:1" ht="15" customHeight="1" x14ac:dyDescent="0.25">
      <c r="A6608"/>
    </row>
    <row r="6609" spans="1:1" ht="15" customHeight="1" x14ac:dyDescent="0.25">
      <c r="A6609"/>
    </row>
    <row r="6610" spans="1:1" ht="15" customHeight="1" x14ac:dyDescent="0.25">
      <c r="A6610"/>
    </row>
    <row r="6611" spans="1:1" ht="15" customHeight="1" x14ac:dyDescent="0.25">
      <c r="A6611"/>
    </row>
    <row r="6612" spans="1:1" ht="15" customHeight="1" x14ac:dyDescent="0.25">
      <c r="A6612"/>
    </row>
    <row r="6613" spans="1:1" ht="15" customHeight="1" x14ac:dyDescent="0.25">
      <c r="A6613"/>
    </row>
    <row r="6614" spans="1:1" ht="15" customHeight="1" x14ac:dyDescent="0.25">
      <c r="A6614"/>
    </row>
    <row r="6615" spans="1:1" ht="15" customHeight="1" x14ac:dyDescent="0.25">
      <c r="A6615"/>
    </row>
    <row r="6616" spans="1:1" ht="15" customHeight="1" x14ac:dyDescent="0.25">
      <c r="A6616"/>
    </row>
    <row r="6617" spans="1:1" ht="15" customHeight="1" x14ac:dyDescent="0.25">
      <c r="A6617"/>
    </row>
    <row r="6618" spans="1:1" ht="15" customHeight="1" x14ac:dyDescent="0.25">
      <c r="A6618"/>
    </row>
    <row r="6619" spans="1:1" ht="15" customHeight="1" x14ac:dyDescent="0.25">
      <c r="A6619"/>
    </row>
    <row r="6620" spans="1:1" ht="15" customHeight="1" x14ac:dyDescent="0.25">
      <c r="A6620"/>
    </row>
    <row r="6621" spans="1:1" ht="15" customHeight="1" x14ac:dyDescent="0.25">
      <c r="A6621"/>
    </row>
    <row r="6622" spans="1:1" ht="15" customHeight="1" x14ac:dyDescent="0.25">
      <c r="A6622"/>
    </row>
    <row r="6623" spans="1:1" ht="15" customHeight="1" x14ac:dyDescent="0.25">
      <c r="A6623"/>
    </row>
    <row r="6624" spans="1:1" ht="15" customHeight="1" x14ac:dyDescent="0.25">
      <c r="A6624"/>
    </row>
    <row r="6625" spans="1:1" ht="15" customHeight="1" x14ac:dyDescent="0.25">
      <c r="A6625"/>
    </row>
    <row r="6626" spans="1:1" ht="15" customHeight="1" x14ac:dyDescent="0.25">
      <c r="A6626"/>
    </row>
    <row r="6627" spans="1:1" ht="15" customHeight="1" x14ac:dyDescent="0.25">
      <c r="A6627"/>
    </row>
    <row r="6628" spans="1:1" ht="15" customHeight="1" x14ac:dyDescent="0.25">
      <c r="A6628"/>
    </row>
    <row r="6629" spans="1:1" ht="15" customHeight="1" x14ac:dyDescent="0.25">
      <c r="A6629"/>
    </row>
    <row r="6630" spans="1:1" ht="15" customHeight="1" x14ac:dyDescent="0.25">
      <c r="A6630"/>
    </row>
    <row r="6631" spans="1:1" ht="15" customHeight="1" x14ac:dyDescent="0.25">
      <c r="A6631"/>
    </row>
    <row r="6632" spans="1:1" ht="15" customHeight="1" x14ac:dyDescent="0.25">
      <c r="A6632"/>
    </row>
    <row r="6633" spans="1:1" ht="15" customHeight="1" x14ac:dyDescent="0.25">
      <c r="A6633"/>
    </row>
    <row r="6634" spans="1:1" ht="15" customHeight="1" x14ac:dyDescent="0.25">
      <c r="A6634"/>
    </row>
    <row r="6635" spans="1:1" ht="15" customHeight="1" x14ac:dyDescent="0.25">
      <c r="A6635"/>
    </row>
    <row r="6636" spans="1:1" ht="15" customHeight="1" x14ac:dyDescent="0.25">
      <c r="A6636"/>
    </row>
    <row r="6637" spans="1:1" ht="15" customHeight="1" x14ac:dyDescent="0.25">
      <c r="A6637"/>
    </row>
    <row r="6638" spans="1:1" ht="15" customHeight="1" x14ac:dyDescent="0.25">
      <c r="A6638"/>
    </row>
    <row r="6639" spans="1:1" ht="15" customHeight="1" x14ac:dyDescent="0.25">
      <c r="A6639"/>
    </row>
    <row r="6640" spans="1:1" ht="15" customHeight="1" x14ac:dyDescent="0.25">
      <c r="A6640"/>
    </row>
    <row r="6641" spans="1:1" ht="15" customHeight="1" x14ac:dyDescent="0.25">
      <c r="A6641"/>
    </row>
    <row r="6642" spans="1:1" ht="15" customHeight="1" x14ac:dyDescent="0.25">
      <c r="A6642"/>
    </row>
    <row r="6643" spans="1:1" ht="15" customHeight="1" x14ac:dyDescent="0.25">
      <c r="A6643"/>
    </row>
    <row r="6644" spans="1:1" ht="15" customHeight="1" x14ac:dyDescent="0.25">
      <c r="A6644"/>
    </row>
    <row r="6645" spans="1:1" ht="15" customHeight="1" x14ac:dyDescent="0.25">
      <c r="A6645"/>
    </row>
    <row r="6646" spans="1:1" ht="15" customHeight="1" x14ac:dyDescent="0.25">
      <c r="A6646"/>
    </row>
    <row r="6647" spans="1:1" ht="15" customHeight="1" x14ac:dyDescent="0.25">
      <c r="A6647"/>
    </row>
    <row r="6648" spans="1:1" ht="15" customHeight="1" x14ac:dyDescent="0.25">
      <c r="A6648"/>
    </row>
    <row r="6649" spans="1:1" ht="15" customHeight="1" x14ac:dyDescent="0.25">
      <c r="A6649"/>
    </row>
    <row r="6650" spans="1:1" ht="15" customHeight="1" x14ac:dyDescent="0.25">
      <c r="A6650"/>
    </row>
    <row r="6651" spans="1:1" ht="15" customHeight="1" x14ac:dyDescent="0.25">
      <c r="A6651"/>
    </row>
    <row r="6652" spans="1:1" ht="15" customHeight="1" x14ac:dyDescent="0.25">
      <c r="A6652"/>
    </row>
    <row r="6653" spans="1:1" ht="15" customHeight="1" x14ac:dyDescent="0.25">
      <c r="A6653"/>
    </row>
    <row r="6654" spans="1:1" ht="15" customHeight="1" x14ac:dyDescent="0.25">
      <c r="A6654"/>
    </row>
    <row r="6655" spans="1:1" ht="15" customHeight="1" x14ac:dyDescent="0.25">
      <c r="A6655"/>
    </row>
    <row r="6656" spans="1:1" ht="15" customHeight="1" x14ac:dyDescent="0.25">
      <c r="A6656"/>
    </row>
    <row r="6657" spans="1:1" ht="15" customHeight="1" x14ac:dyDescent="0.25">
      <c r="A6657"/>
    </row>
    <row r="6658" spans="1:1" ht="15" customHeight="1" x14ac:dyDescent="0.25">
      <c r="A6658"/>
    </row>
    <row r="6659" spans="1:1" ht="15" customHeight="1" x14ac:dyDescent="0.25">
      <c r="A6659"/>
    </row>
    <row r="6660" spans="1:1" ht="15" customHeight="1" x14ac:dyDescent="0.25">
      <c r="A6660"/>
    </row>
    <row r="6661" spans="1:1" ht="15" customHeight="1" x14ac:dyDescent="0.25">
      <c r="A6661"/>
    </row>
    <row r="6662" spans="1:1" ht="15" customHeight="1" x14ac:dyDescent="0.25">
      <c r="A6662"/>
    </row>
    <row r="6663" spans="1:1" ht="15" customHeight="1" x14ac:dyDescent="0.25">
      <c r="A6663"/>
    </row>
    <row r="6664" spans="1:1" ht="15" customHeight="1" x14ac:dyDescent="0.25">
      <c r="A6664"/>
    </row>
    <row r="6665" spans="1:1" ht="15" customHeight="1" x14ac:dyDescent="0.25">
      <c r="A6665"/>
    </row>
    <row r="6666" spans="1:1" ht="15" customHeight="1" x14ac:dyDescent="0.25">
      <c r="A6666"/>
    </row>
    <row r="6667" spans="1:1" ht="15" customHeight="1" x14ac:dyDescent="0.25">
      <c r="A6667"/>
    </row>
    <row r="6668" spans="1:1" ht="15" customHeight="1" x14ac:dyDescent="0.25">
      <c r="A6668"/>
    </row>
    <row r="6669" spans="1:1" ht="15" customHeight="1" x14ac:dyDescent="0.25">
      <c r="A6669"/>
    </row>
    <row r="6670" spans="1:1" ht="15" customHeight="1" x14ac:dyDescent="0.25">
      <c r="A6670"/>
    </row>
    <row r="6671" spans="1:1" ht="15" customHeight="1" x14ac:dyDescent="0.25">
      <c r="A6671"/>
    </row>
    <row r="6672" spans="1:1" ht="15" customHeight="1" x14ac:dyDescent="0.25">
      <c r="A6672"/>
    </row>
    <row r="6673" spans="1:1" ht="15" customHeight="1" x14ac:dyDescent="0.25">
      <c r="A6673"/>
    </row>
    <row r="6674" spans="1:1" ht="15" customHeight="1" x14ac:dyDescent="0.25">
      <c r="A6674"/>
    </row>
    <row r="6675" spans="1:1" ht="15" customHeight="1" x14ac:dyDescent="0.25">
      <c r="A6675"/>
    </row>
    <row r="6676" spans="1:1" ht="15" customHeight="1" x14ac:dyDescent="0.25">
      <c r="A6676"/>
    </row>
    <row r="6677" spans="1:1" ht="15" customHeight="1" x14ac:dyDescent="0.25">
      <c r="A6677"/>
    </row>
    <row r="6678" spans="1:1" ht="15" customHeight="1" x14ac:dyDescent="0.25">
      <c r="A6678"/>
    </row>
    <row r="6679" spans="1:1" ht="15" customHeight="1" x14ac:dyDescent="0.25">
      <c r="A6679"/>
    </row>
    <row r="6680" spans="1:1" ht="15" customHeight="1" x14ac:dyDescent="0.25">
      <c r="A6680"/>
    </row>
    <row r="6681" spans="1:1" ht="15" customHeight="1" x14ac:dyDescent="0.25">
      <c r="A6681"/>
    </row>
    <row r="6682" spans="1:1" ht="15" customHeight="1" x14ac:dyDescent="0.25">
      <c r="A6682"/>
    </row>
    <row r="6683" spans="1:1" ht="15" customHeight="1" x14ac:dyDescent="0.25">
      <c r="A6683"/>
    </row>
    <row r="6684" spans="1:1" ht="15" customHeight="1" x14ac:dyDescent="0.25">
      <c r="A6684"/>
    </row>
    <row r="6685" spans="1:1" ht="15" customHeight="1" x14ac:dyDescent="0.25">
      <c r="A6685"/>
    </row>
    <row r="6686" spans="1:1" ht="15" customHeight="1" x14ac:dyDescent="0.25">
      <c r="A6686"/>
    </row>
    <row r="6687" spans="1:1" ht="15" customHeight="1" x14ac:dyDescent="0.25">
      <c r="A6687"/>
    </row>
    <row r="6688" spans="1:1" ht="15" customHeight="1" x14ac:dyDescent="0.25">
      <c r="A6688"/>
    </row>
    <row r="6689" spans="1:1" ht="15" customHeight="1" x14ac:dyDescent="0.25">
      <c r="A6689"/>
    </row>
    <row r="6690" spans="1:1" ht="15" customHeight="1" x14ac:dyDescent="0.25">
      <c r="A6690"/>
    </row>
    <row r="6691" spans="1:1" ht="15" customHeight="1" x14ac:dyDescent="0.25">
      <c r="A6691"/>
    </row>
    <row r="6692" spans="1:1" ht="15" customHeight="1" x14ac:dyDescent="0.25">
      <c r="A6692"/>
    </row>
    <row r="6693" spans="1:1" ht="15" customHeight="1" x14ac:dyDescent="0.25">
      <c r="A6693"/>
    </row>
    <row r="6694" spans="1:1" ht="15" customHeight="1" x14ac:dyDescent="0.25">
      <c r="A6694"/>
    </row>
    <row r="6695" spans="1:1" ht="15" customHeight="1" x14ac:dyDescent="0.25">
      <c r="A6695"/>
    </row>
    <row r="6696" spans="1:1" ht="15" customHeight="1" x14ac:dyDescent="0.25">
      <c r="A6696"/>
    </row>
    <row r="6697" spans="1:1" ht="15" customHeight="1" x14ac:dyDescent="0.25">
      <c r="A6697"/>
    </row>
    <row r="6698" spans="1:1" ht="15" customHeight="1" x14ac:dyDescent="0.25">
      <c r="A6698"/>
    </row>
    <row r="6699" spans="1:1" ht="15" customHeight="1" x14ac:dyDescent="0.25">
      <c r="A6699"/>
    </row>
    <row r="6700" spans="1:1" ht="15" customHeight="1" x14ac:dyDescent="0.25">
      <c r="A6700"/>
    </row>
    <row r="6701" spans="1:1" ht="15" customHeight="1" x14ac:dyDescent="0.25">
      <c r="A6701"/>
    </row>
    <row r="6702" spans="1:1" ht="15" customHeight="1" x14ac:dyDescent="0.25">
      <c r="A6702"/>
    </row>
    <row r="6703" spans="1:1" ht="15" customHeight="1" x14ac:dyDescent="0.25">
      <c r="A6703"/>
    </row>
    <row r="6704" spans="1:1" ht="15" customHeight="1" x14ac:dyDescent="0.25">
      <c r="A6704"/>
    </row>
    <row r="6705" spans="1:1" ht="15" customHeight="1" x14ac:dyDescent="0.25">
      <c r="A6705"/>
    </row>
    <row r="6706" spans="1:1" ht="15" customHeight="1" x14ac:dyDescent="0.25">
      <c r="A6706"/>
    </row>
    <row r="6707" spans="1:1" ht="15" customHeight="1" x14ac:dyDescent="0.25">
      <c r="A6707"/>
    </row>
    <row r="6708" spans="1:1" ht="15" customHeight="1" x14ac:dyDescent="0.25">
      <c r="A6708"/>
    </row>
    <row r="6709" spans="1:1" ht="15" customHeight="1" x14ac:dyDescent="0.25">
      <c r="A6709"/>
    </row>
    <row r="6710" spans="1:1" ht="15" customHeight="1" x14ac:dyDescent="0.25">
      <c r="A6710"/>
    </row>
    <row r="6711" spans="1:1" ht="15" customHeight="1" x14ac:dyDescent="0.25">
      <c r="A6711"/>
    </row>
    <row r="6712" spans="1:1" ht="15" customHeight="1" x14ac:dyDescent="0.25">
      <c r="A6712"/>
    </row>
    <row r="6713" spans="1:1" ht="15" customHeight="1" x14ac:dyDescent="0.25">
      <c r="A6713"/>
    </row>
    <row r="6714" spans="1:1" ht="15" customHeight="1" x14ac:dyDescent="0.25">
      <c r="A6714"/>
    </row>
    <row r="6715" spans="1:1" ht="15" customHeight="1" x14ac:dyDescent="0.25">
      <c r="A6715"/>
    </row>
    <row r="6716" spans="1:1" ht="15" customHeight="1" x14ac:dyDescent="0.25">
      <c r="A6716"/>
    </row>
    <row r="6717" spans="1:1" ht="15" customHeight="1" x14ac:dyDescent="0.25">
      <c r="A6717"/>
    </row>
    <row r="6718" spans="1:1" ht="15" customHeight="1" x14ac:dyDescent="0.25">
      <c r="A6718"/>
    </row>
    <row r="6719" spans="1:1" ht="15" customHeight="1" x14ac:dyDescent="0.25">
      <c r="A6719"/>
    </row>
    <row r="6720" spans="1:1" ht="15" customHeight="1" x14ac:dyDescent="0.25">
      <c r="A6720"/>
    </row>
    <row r="6721" spans="1:1" ht="15" customHeight="1" x14ac:dyDescent="0.25">
      <c r="A6721"/>
    </row>
    <row r="6722" spans="1:1" ht="15" customHeight="1" x14ac:dyDescent="0.25">
      <c r="A6722"/>
    </row>
    <row r="6723" spans="1:1" ht="15" customHeight="1" x14ac:dyDescent="0.25">
      <c r="A6723"/>
    </row>
    <row r="6724" spans="1:1" ht="15" customHeight="1" x14ac:dyDescent="0.25">
      <c r="A6724"/>
    </row>
    <row r="6725" spans="1:1" ht="15" customHeight="1" x14ac:dyDescent="0.25">
      <c r="A6725"/>
    </row>
    <row r="6726" spans="1:1" ht="15" customHeight="1" x14ac:dyDescent="0.25">
      <c r="A6726"/>
    </row>
    <row r="6727" spans="1:1" ht="15" customHeight="1" x14ac:dyDescent="0.25">
      <c r="A6727"/>
    </row>
    <row r="6728" spans="1:1" ht="15" customHeight="1" x14ac:dyDescent="0.25">
      <c r="A6728"/>
    </row>
    <row r="6729" spans="1:1" ht="15" customHeight="1" x14ac:dyDescent="0.25">
      <c r="A6729"/>
    </row>
    <row r="6730" spans="1:1" ht="15" customHeight="1" x14ac:dyDescent="0.25">
      <c r="A6730"/>
    </row>
    <row r="6731" spans="1:1" ht="15" customHeight="1" x14ac:dyDescent="0.25">
      <c r="A6731"/>
    </row>
    <row r="6732" spans="1:1" ht="15" customHeight="1" x14ac:dyDescent="0.25">
      <c r="A6732"/>
    </row>
    <row r="6733" spans="1:1" ht="15" customHeight="1" x14ac:dyDescent="0.25">
      <c r="A6733"/>
    </row>
    <row r="6734" spans="1:1" ht="15" customHeight="1" x14ac:dyDescent="0.25">
      <c r="A6734"/>
    </row>
    <row r="6735" spans="1:1" ht="15" customHeight="1" x14ac:dyDescent="0.25">
      <c r="A6735"/>
    </row>
    <row r="6736" spans="1:1" ht="15" customHeight="1" x14ac:dyDescent="0.25">
      <c r="A6736"/>
    </row>
    <row r="6737" spans="1:1" ht="15" customHeight="1" x14ac:dyDescent="0.25">
      <c r="A6737"/>
    </row>
    <row r="6738" spans="1:1" ht="15" customHeight="1" x14ac:dyDescent="0.25">
      <c r="A6738"/>
    </row>
    <row r="6739" spans="1:1" ht="15" customHeight="1" x14ac:dyDescent="0.25">
      <c r="A6739"/>
    </row>
    <row r="6740" spans="1:1" ht="15" customHeight="1" x14ac:dyDescent="0.25">
      <c r="A6740"/>
    </row>
    <row r="6741" spans="1:1" ht="15" customHeight="1" x14ac:dyDescent="0.25">
      <c r="A6741"/>
    </row>
    <row r="6742" spans="1:1" ht="15" customHeight="1" x14ac:dyDescent="0.25">
      <c r="A6742"/>
    </row>
    <row r="6743" spans="1:1" ht="15" customHeight="1" x14ac:dyDescent="0.25">
      <c r="A6743"/>
    </row>
    <row r="6744" spans="1:1" ht="15" customHeight="1" x14ac:dyDescent="0.25">
      <c r="A6744"/>
    </row>
    <row r="6745" spans="1:1" ht="15" customHeight="1" x14ac:dyDescent="0.25">
      <c r="A6745"/>
    </row>
    <row r="6746" spans="1:1" ht="15" customHeight="1" x14ac:dyDescent="0.25">
      <c r="A6746"/>
    </row>
    <row r="6747" spans="1:1" ht="15" customHeight="1" x14ac:dyDescent="0.25">
      <c r="A6747"/>
    </row>
    <row r="6748" spans="1:1" ht="15" customHeight="1" x14ac:dyDescent="0.25">
      <c r="A6748"/>
    </row>
    <row r="6749" spans="1:1" ht="15" customHeight="1" x14ac:dyDescent="0.25">
      <c r="A6749"/>
    </row>
    <row r="6750" spans="1:1" ht="15" customHeight="1" x14ac:dyDescent="0.25">
      <c r="A6750"/>
    </row>
    <row r="6751" spans="1:1" ht="15" customHeight="1" x14ac:dyDescent="0.25">
      <c r="A6751"/>
    </row>
    <row r="6752" spans="1:1" ht="15" customHeight="1" x14ac:dyDescent="0.25">
      <c r="A6752"/>
    </row>
    <row r="6753" spans="1:1" ht="15" customHeight="1" x14ac:dyDescent="0.25">
      <c r="A6753"/>
    </row>
    <row r="6754" spans="1:1" ht="15" customHeight="1" x14ac:dyDescent="0.25">
      <c r="A6754"/>
    </row>
    <row r="6755" spans="1:1" ht="15" customHeight="1" x14ac:dyDescent="0.25">
      <c r="A6755"/>
    </row>
    <row r="6756" spans="1:1" ht="15" customHeight="1" x14ac:dyDescent="0.25">
      <c r="A6756"/>
    </row>
    <row r="6757" spans="1:1" ht="15" customHeight="1" x14ac:dyDescent="0.25">
      <c r="A6757"/>
    </row>
    <row r="6758" spans="1:1" ht="15" customHeight="1" x14ac:dyDescent="0.25">
      <c r="A6758"/>
    </row>
    <row r="6759" spans="1:1" ht="15" customHeight="1" x14ac:dyDescent="0.25">
      <c r="A6759"/>
    </row>
    <row r="6760" spans="1:1" ht="15" customHeight="1" x14ac:dyDescent="0.25">
      <c r="A6760"/>
    </row>
    <row r="6761" spans="1:1" ht="15" customHeight="1" x14ac:dyDescent="0.25">
      <c r="A6761"/>
    </row>
    <row r="6762" spans="1:1" ht="15" customHeight="1" x14ac:dyDescent="0.25">
      <c r="A6762"/>
    </row>
    <row r="6763" spans="1:1" ht="15" customHeight="1" x14ac:dyDescent="0.25">
      <c r="A6763"/>
    </row>
    <row r="6764" spans="1:1" ht="15" customHeight="1" x14ac:dyDescent="0.25">
      <c r="A6764"/>
    </row>
    <row r="6765" spans="1:1" ht="15" customHeight="1" x14ac:dyDescent="0.25">
      <c r="A6765"/>
    </row>
    <row r="6766" spans="1:1" ht="15" customHeight="1" x14ac:dyDescent="0.25">
      <c r="A6766"/>
    </row>
    <row r="6767" spans="1:1" ht="15" customHeight="1" x14ac:dyDescent="0.25">
      <c r="A6767"/>
    </row>
    <row r="6768" spans="1:1" ht="15" customHeight="1" x14ac:dyDescent="0.25">
      <c r="A6768"/>
    </row>
    <row r="6769" spans="1:1" ht="15" customHeight="1" x14ac:dyDescent="0.25">
      <c r="A6769"/>
    </row>
    <row r="6770" spans="1:1" ht="15" customHeight="1" x14ac:dyDescent="0.25">
      <c r="A6770"/>
    </row>
    <row r="6771" spans="1:1" ht="15" customHeight="1" x14ac:dyDescent="0.25">
      <c r="A6771"/>
    </row>
    <row r="6772" spans="1:1" ht="15" customHeight="1" x14ac:dyDescent="0.25">
      <c r="A6772"/>
    </row>
    <row r="6773" spans="1:1" ht="15" customHeight="1" x14ac:dyDescent="0.25">
      <c r="A6773"/>
    </row>
    <row r="6774" spans="1:1" ht="15" customHeight="1" x14ac:dyDescent="0.25">
      <c r="A6774"/>
    </row>
    <row r="6775" spans="1:1" ht="15" customHeight="1" x14ac:dyDescent="0.25">
      <c r="A6775"/>
    </row>
    <row r="6776" spans="1:1" ht="15" customHeight="1" x14ac:dyDescent="0.25">
      <c r="A6776"/>
    </row>
    <row r="6777" spans="1:1" ht="15" customHeight="1" x14ac:dyDescent="0.25">
      <c r="A6777"/>
    </row>
    <row r="6778" spans="1:1" ht="15" customHeight="1" x14ac:dyDescent="0.25">
      <c r="A6778"/>
    </row>
    <row r="6779" spans="1:1" ht="15" customHeight="1" x14ac:dyDescent="0.25">
      <c r="A6779"/>
    </row>
    <row r="6780" spans="1:1" ht="15" customHeight="1" x14ac:dyDescent="0.25">
      <c r="A6780"/>
    </row>
    <row r="6781" spans="1:1" ht="15" customHeight="1" x14ac:dyDescent="0.25">
      <c r="A6781"/>
    </row>
    <row r="6782" spans="1:1" ht="15" customHeight="1" x14ac:dyDescent="0.25">
      <c r="A6782"/>
    </row>
    <row r="6783" spans="1:1" ht="15" customHeight="1" x14ac:dyDescent="0.25">
      <c r="A6783"/>
    </row>
    <row r="6784" spans="1:1" ht="15" customHeight="1" x14ac:dyDescent="0.25">
      <c r="A6784"/>
    </row>
    <row r="6785" spans="1:1" ht="15" customHeight="1" x14ac:dyDescent="0.25">
      <c r="A6785"/>
    </row>
    <row r="6786" spans="1:1" ht="15" customHeight="1" x14ac:dyDescent="0.25">
      <c r="A6786"/>
    </row>
    <row r="6787" spans="1:1" ht="15" customHeight="1" x14ac:dyDescent="0.25">
      <c r="A6787"/>
    </row>
    <row r="6788" spans="1:1" ht="15" customHeight="1" x14ac:dyDescent="0.25">
      <c r="A6788"/>
    </row>
    <row r="6789" spans="1:1" ht="15" customHeight="1" x14ac:dyDescent="0.25">
      <c r="A6789"/>
    </row>
    <row r="6790" spans="1:1" ht="15" customHeight="1" x14ac:dyDescent="0.25">
      <c r="A6790"/>
    </row>
    <row r="6791" spans="1:1" ht="15" customHeight="1" x14ac:dyDescent="0.25">
      <c r="A6791"/>
    </row>
    <row r="6792" spans="1:1" ht="15" customHeight="1" x14ac:dyDescent="0.25">
      <c r="A6792"/>
    </row>
    <row r="6793" spans="1:1" ht="15" customHeight="1" x14ac:dyDescent="0.25">
      <c r="A6793"/>
    </row>
    <row r="6794" spans="1:1" ht="15" customHeight="1" x14ac:dyDescent="0.25">
      <c r="A6794"/>
    </row>
    <row r="6795" spans="1:1" ht="15" customHeight="1" x14ac:dyDescent="0.25">
      <c r="A6795"/>
    </row>
    <row r="6796" spans="1:1" ht="15" customHeight="1" x14ac:dyDescent="0.25">
      <c r="A6796"/>
    </row>
    <row r="6797" spans="1:1" ht="15" customHeight="1" x14ac:dyDescent="0.25">
      <c r="A6797"/>
    </row>
    <row r="6798" spans="1:1" ht="15" customHeight="1" x14ac:dyDescent="0.25">
      <c r="A6798"/>
    </row>
    <row r="6799" spans="1:1" ht="15" customHeight="1" x14ac:dyDescent="0.25">
      <c r="A6799"/>
    </row>
    <row r="6800" spans="1:1" ht="15" customHeight="1" x14ac:dyDescent="0.25">
      <c r="A6800"/>
    </row>
    <row r="6801" spans="1:1" ht="15" customHeight="1" x14ac:dyDescent="0.25">
      <c r="A6801"/>
    </row>
    <row r="6802" spans="1:1" ht="15" customHeight="1" x14ac:dyDescent="0.25">
      <c r="A6802"/>
    </row>
    <row r="6803" spans="1:1" ht="15" customHeight="1" x14ac:dyDescent="0.25">
      <c r="A6803"/>
    </row>
    <row r="6804" spans="1:1" ht="15" customHeight="1" x14ac:dyDescent="0.25">
      <c r="A6804"/>
    </row>
    <row r="6805" spans="1:1" ht="15" customHeight="1" x14ac:dyDescent="0.25">
      <c r="A6805"/>
    </row>
    <row r="6806" spans="1:1" ht="15" customHeight="1" x14ac:dyDescent="0.25">
      <c r="A6806"/>
    </row>
    <row r="6807" spans="1:1" ht="15" customHeight="1" x14ac:dyDescent="0.25">
      <c r="A6807"/>
    </row>
    <row r="6808" spans="1:1" ht="15" customHeight="1" x14ac:dyDescent="0.25">
      <c r="A6808"/>
    </row>
    <row r="6809" spans="1:1" ht="15" customHeight="1" x14ac:dyDescent="0.25">
      <c r="A6809"/>
    </row>
    <row r="6810" spans="1:1" ht="15" customHeight="1" x14ac:dyDescent="0.25">
      <c r="A6810"/>
    </row>
    <row r="6811" spans="1:1" ht="15" customHeight="1" x14ac:dyDescent="0.25">
      <c r="A6811"/>
    </row>
    <row r="6812" spans="1:1" ht="15" customHeight="1" x14ac:dyDescent="0.25">
      <c r="A6812"/>
    </row>
    <row r="6813" spans="1:1" ht="15" customHeight="1" x14ac:dyDescent="0.25">
      <c r="A6813"/>
    </row>
    <row r="6814" spans="1:1" ht="15" customHeight="1" x14ac:dyDescent="0.25">
      <c r="A6814"/>
    </row>
    <row r="6815" spans="1:1" ht="15" customHeight="1" x14ac:dyDescent="0.25">
      <c r="A6815"/>
    </row>
    <row r="6816" spans="1:1" ht="15" customHeight="1" x14ac:dyDescent="0.25">
      <c r="A6816"/>
    </row>
    <row r="6817" spans="1:1" ht="15" customHeight="1" x14ac:dyDescent="0.25">
      <c r="A6817"/>
    </row>
    <row r="6818" spans="1:1" ht="15" customHeight="1" x14ac:dyDescent="0.25">
      <c r="A6818"/>
    </row>
    <row r="6819" spans="1:1" ht="15" customHeight="1" x14ac:dyDescent="0.25">
      <c r="A6819"/>
    </row>
    <row r="6820" spans="1:1" ht="15" customHeight="1" x14ac:dyDescent="0.25">
      <c r="A6820"/>
    </row>
    <row r="6821" spans="1:1" ht="15" customHeight="1" x14ac:dyDescent="0.25">
      <c r="A6821"/>
    </row>
    <row r="6822" spans="1:1" ht="15" customHeight="1" x14ac:dyDescent="0.25">
      <c r="A6822"/>
    </row>
    <row r="6823" spans="1:1" ht="15" customHeight="1" x14ac:dyDescent="0.25">
      <c r="A6823"/>
    </row>
    <row r="6824" spans="1:1" ht="15" customHeight="1" x14ac:dyDescent="0.25">
      <c r="A6824"/>
    </row>
    <row r="6825" spans="1:1" ht="15" customHeight="1" x14ac:dyDescent="0.25">
      <c r="A6825"/>
    </row>
    <row r="6826" spans="1:1" ht="15" customHeight="1" x14ac:dyDescent="0.25">
      <c r="A6826"/>
    </row>
    <row r="6827" spans="1:1" ht="15" customHeight="1" x14ac:dyDescent="0.25">
      <c r="A6827"/>
    </row>
    <row r="6828" spans="1:1" ht="15" customHeight="1" x14ac:dyDescent="0.25">
      <c r="A6828"/>
    </row>
    <row r="6829" spans="1:1" ht="15" customHeight="1" x14ac:dyDescent="0.25">
      <c r="A6829"/>
    </row>
    <row r="6830" spans="1:1" ht="15" customHeight="1" x14ac:dyDescent="0.25">
      <c r="A6830"/>
    </row>
    <row r="6831" spans="1:1" ht="15" customHeight="1" x14ac:dyDescent="0.25">
      <c r="A6831"/>
    </row>
    <row r="6832" spans="1:1" ht="15" customHeight="1" x14ac:dyDescent="0.25">
      <c r="A6832"/>
    </row>
    <row r="6833" spans="1:1" ht="15" customHeight="1" x14ac:dyDescent="0.25">
      <c r="A6833"/>
    </row>
    <row r="6834" spans="1:1" ht="15" customHeight="1" x14ac:dyDescent="0.25">
      <c r="A6834"/>
    </row>
    <row r="6835" spans="1:1" ht="15" customHeight="1" x14ac:dyDescent="0.25">
      <c r="A6835"/>
    </row>
    <row r="6836" spans="1:1" ht="15" customHeight="1" x14ac:dyDescent="0.25">
      <c r="A6836"/>
    </row>
    <row r="6837" spans="1:1" ht="15" customHeight="1" x14ac:dyDescent="0.25">
      <c r="A6837"/>
    </row>
    <row r="6838" spans="1:1" ht="15" customHeight="1" x14ac:dyDescent="0.25">
      <c r="A6838"/>
    </row>
    <row r="6839" spans="1:1" ht="15" customHeight="1" x14ac:dyDescent="0.25">
      <c r="A6839"/>
    </row>
    <row r="6840" spans="1:1" ht="15" customHeight="1" x14ac:dyDescent="0.25">
      <c r="A6840"/>
    </row>
    <row r="6841" spans="1:1" ht="15" customHeight="1" x14ac:dyDescent="0.25">
      <c r="A6841"/>
    </row>
    <row r="6842" spans="1:1" ht="15" customHeight="1" x14ac:dyDescent="0.25">
      <c r="A6842"/>
    </row>
    <row r="6843" spans="1:1" ht="15" customHeight="1" x14ac:dyDescent="0.25">
      <c r="A6843"/>
    </row>
    <row r="6844" spans="1:1" ht="15" customHeight="1" x14ac:dyDescent="0.25">
      <c r="A6844"/>
    </row>
    <row r="6845" spans="1:1" ht="15" customHeight="1" x14ac:dyDescent="0.25">
      <c r="A6845"/>
    </row>
    <row r="6846" spans="1:1" ht="15" customHeight="1" x14ac:dyDescent="0.25">
      <c r="A6846"/>
    </row>
    <row r="6847" spans="1:1" ht="15" customHeight="1" x14ac:dyDescent="0.25">
      <c r="A6847"/>
    </row>
    <row r="6848" spans="1:1" ht="15" customHeight="1" x14ac:dyDescent="0.25">
      <c r="A6848"/>
    </row>
    <row r="6849" spans="1:1" ht="15" customHeight="1" x14ac:dyDescent="0.25">
      <c r="A6849"/>
    </row>
    <row r="6850" spans="1:1" ht="15" customHeight="1" x14ac:dyDescent="0.25">
      <c r="A6850"/>
    </row>
    <row r="6851" spans="1:1" ht="15" customHeight="1" x14ac:dyDescent="0.25">
      <c r="A6851"/>
    </row>
    <row r="6852" spans="1:1" ht="15" customHeight="1" x14ac:dyDescent="0.25">
      <c r="A6852"/>
    </row>
    <row r="6853" spans="1:1" ht="15" customHeight="1" x14ac:dyDescent="0.25">
      <c r="A6853"/>
    </row>
    <row r="6854" spans="1:1" ht="15" customHeight="1" x14ac:dyDescent="0.25">
      <c r="A6854"/>
    </row>
    <row r="6855" spans="1:1" ht="15" customHeight="1" x14ac:dyDescent="0.25">
      <c r="A6855"/>
    </row>
    <row r="6856" spans="1:1" ht="15" customHeight="1" x14ac:dyDescent="0.25">
      <c r="A6856"/>
    </row>
    <row r="6857" spans="1:1" ht="15" customHeight="1" x14ac:dyDescent="0.25">
      <c r="A6857"/>
    </row>
    <row r="6858" spans="1:1" ht="15" customHeight="1" x14ac:dyDescent="0.25">
      <c r="A6858"/>
    </row>
    <row r="6859" spans="1:1" ht="15" customHeight="1" x14ac:dyDescent="0.25">
      <c r="A6859"/>
    </row>
    <row r="6860" spans="1:1" ht="15" customHeight="1" x14ac:dyDescent="0.25">
      <c r="A6860"/>
    </row>
    <row r="6861" spans="1:1" ht="15" customHeight="1" x14ac:dyDescent="0.25">
      <c r="A6861"/>
    </row>
    <row r="6862" spans="1:1" ht="15" customHeight="1" x14ac:dyDescent="0.25">
      <c r="A6862"/>
    </row>
    <row r="6863" spans="1:1" ht="15" customHeight="1" x14ac:dyDescent="0.25">
      <c r="A6863"/>
    </row>
    <row r="6864" spans="1:1" ht="15" customHeight="1" x14ac:dyDescent="0.25">
      <c r="A6864"/>
    </row>
    <row r="6865" spans="1:1" ht="15" customHeight="1" x14ac:dyDescent="0.25">
      <c r="A6865"/>
    </row>
    <row r="6866" spans="1:1" ht="15" customHeight="1" x14ac:dyDescent="0.25">
      <c r="A6866"/>
    </row>
    <row r="6867" spans="1:1" ht="15" customHeight="1" x14ac:dyDescent="0.25">
      <c r="A6867"/>
    </row>
    <row r="6868" spans="1:1" ht="15" customHeight="1" x14ac:dyDescent="0.25">
      <c r="A6868"/>
    </row>
    <row r="6869" spans="1:1" ht="15" customHeight="1" x14ac:dyDescent="0.25">
      <c r="A6869"/>
    </row>
    <row r="6870" spans="1:1" ht="15" customHeight="1" x14ac:dyDescent="0.25">
      <c r="A6870"/>
    </row>
    <row r="6871" spans="1:1" ht="15" customHeight="1" x14ac:dyDescent="0.25">
      <c r="A6871"/>
    </row>
    <row r="6872" spans="1:1" ht="15" customHeight="1" x14ac:dyDescent="0.25">
      <c r="A6872"/>
    </row>
    <row r="6873" spans="1:1" ht="15" customHeight="1" x14ac:dyDescent="0.25">
      <c r="A6873"/>
    </row>
    <row r="6874" spans="1:1" ht="15" customHeight="1" x14ac:dyDescent="0.25">
      <c r="A6874"/>
    </row>
    <row r="6875" spans="1:1" ht="15" customHeight="1" x14ac:dyDescent="0.25">
      <c r="A6875"/>
    </row>
    <row r="6876" spans="1:1" ht="15" customHeight="1" x14ac:dyDescent="0.25">
      <c r="A6876"/>
    </row>
    <row r="6877" spans="1:1" ht="15" customHeight="1" x14ac:dyDescent="0.25">
      <c r="A6877"/>
    </row>
    <row r="6878" spans="1:1" ht="15" customHeight="1" x14ac:dyDescent="0.25">
      <c r="A6878"/>
    </row>
    <row r="6879" spans="1:1" ht="15" customHeight="1" x14ac:dyDescent="0.25">
      <c r="A6879"/>
    </row>
    <row r="6880" spans="1:1" ht="15" customHeight="1" x14ac:dyDescent="0.25">
      <c r="A6880"/>
    </row>
    <row r="6881" spans="1:1" ht="15" customHeight="1" x14ac:dyDescent="0.25">
      <c r="A6881"/>
    </row>
    <row r="6882" spans="1:1" ht="15" customHeight="1" x14ac:dyDescent="0.25">
      <c r="A6882"/>
    </row>
    <row r="6883" spans="1:1" ht="15" customHeight="1" x14ac:dyDescent="0.25">
      <c r="A6883"/>
    </row>
    <row r="6884" spans="1:1" ht="15" customHeight="1" x14ac:dyDescent="0.25">
      <c r="A6884"/>
    </row>
    <row r="6885" spans="1:1" ht="15" customHeight="1" x14ac:dyDescent="0.25">
      <c r="A6885"/>
    </row>
    <row r="6886" spans="1:1" ht="15" customHeight="1" x14ac:dyDescent="0.25">
      <c r="A6886"/>
    </row>
    <row r="6887" spans="1:1" ht="15" customHeight="1" x14ac:dyDescent="0.25">
      <c r="A6887"/>
    </row>
    <row r="6888" spans="1:1" ht="15" customHeight="1" x14ac:dyDescent="0.25">
      <c r="A6888"/>
    </row>
    <row r="6889" spans="1:1" ht="15" customHeight="1" x14ac:dyDescent="0.25">
      <c r="A6889"/>
    </row>
    <row r="6890" spans="1:1" ht="15" customHeight="1" x14ac:dyDescent="0.25">
      <c r="A6890"/>
    </row>
    <row r="6891" spans="1:1" ht="15" customHeight="1" x14ac:dyDescent="0.25">
      <c r="A6891"/>
    </row>
    <row r="6892" spans="1:1" ht="15" customHeight="1" x14ac:dyDescent="0.25">
      <c r="A6892"/>
    </row>
    <row r="6893" spans="1:1" ht="15" customHeight="1" x14ac:dyDescent="0.25">
      <c r="A6893"/>
    </row>
    <row r="6894" spans="1:1" ht="15" customHeight="1" x14ac:dyDescent="0.25">
      <c r="A6894"/>
    </row>
    <row r="6895" spans="1:1" ht="15" customHeight="1" x14ac:dyDescent="0.25">
      <c r="A6895"/>
    </row>
    <row r="6896" spans="1:1" ht="15" customHeight="1" x14ac:dyDescent="0.25">
      <c r="A6896"/>
    </row>
    <row r="6897" spans="1:1" ht="15" customHeight="1" x14ac:dyDescent="0.25">
      <c r="A6897"/>
    </row>
    <row r="6898" spans="1:1" ht="15" customHeight="1" x14ac:dyDescent="0.25">
      <c r="A6898"/>
    </row>
    <row r="6899" spans="1:1" ht="15" customHeight="1" x14ac:dyDescent="0.25">
      <c r="A6899"/>
    </row>
    <row r="6900" spans="1:1" ht="15" customHeight="1" x14ac:dyDescent="0.25">
      <c r="A6900"/>
    </row>
    <row r="6901" spans="1:1" ht="15" customHeight="1" x14ac:dyDescent="0.25">
      <c r="A6901"/>
    </row>
    <row r="6902" spans="1:1" ht="15" customHeight="1" x14ac:dyDescent="0.25">
      <c r="A6902"/>
    </row>
    <row r="6903" spans="1:1" ht="15" customHeight="1" x14ac:dyDescent="0.25">
      <c r="A6903"/>
    </row>
    <row r="6904" spans="1:1" ht="15" customHeight="1" x14ac:dyDescent="0.25">
      <c r="A6904"/>
    </row>
    <row r="6905" spans="1:1" ht="15" customHeight="1" x14ac:dyDescent="0.25">
      <c r="A6905"/>
    </row>
    <row r="6906" spans="1:1" ht="15" customHeight="1" x14ac:dyDescent="0.25">
      <c r="A6906"/>
    </row>
    <row r="6907" spans="1:1" ht="15" customHeight="1" x14ac:dyDescent="0.25">
      <c r="A6907"/>
    </row>
    <row r="6908" spans="1:1" ht="15" customHeight="1" x14ac:dyDescent="0.25">
      <c r="A6908"/>
    </row>
    <row r="6909" spans="1:1" ht="15" customHeight="1" x14ac:dyDescent="0.25">
      <c r="A6909"/>
    </row>
    <row r="6910" spans="1:1" ht="15" customHeight="1" x14ac:dyDescent="0.25">
      <c r="A6910"/>
    </row>
    <row r="6911" spans="1:1" ht="15" customHeight="1" x14ac:dyDescent="0.25">
      <c r="A6911"/>
    </row>
    <row r="6912" spans="1:1" ht="15" customHeight="1" x14ac:dyDescent="0.25">
      <c r="A6912"/>
    </row>
    <row r="6913" spans="1:1" ht="15" customHeight="1" x14ac:dyDescent="0.25">
      <c r="A6913"/>
    </row>
    <row r="6914" spans="1:1" ht="15" customHeight="1" x14ac:dyDescent="0.25">
      <c r="A6914"/>
    </row>
    <row r="6915" spans="1:1" ht="15" customHeight="1" x14ac:dyDescent="0.25">
      <c r="A6915"/>
    </row>
    <row r="6916" spans="1:1" ht="15" customHeight="1" x14ac:dyDescent="0.25">
      <c r="A6916"/>
    </row>
    <row r="6917" spans="1:1" ht="15" customHeight="1" x14ac:dyDescent="0.25">
      <c r="A6917"/>
    </row>
    <row r="6918" spans="1:1" ht="15" customHeight="1" x14ac:dyDescent="0.25">
      <c r="A6918"/>
    </row>
    <row r="6919" spans="1:1" ht="15" customHeight="1" x14ac:dyDescent="0.25">
      <c r="A6919"/>
    </row>
    <row r="6920" spans="1:1" ht="15" customHeight="1" x14ac:dyDescent="0.25">
      <c r="A6920"/>
    </row>
    <row r="6921" spans="1:1" ht="15" customHeight="1" x14ac:dyDescent="0.25">
      <c r="A6921"/>
    </row>
    <row r="6922" spans="1:1" ht="15" customHeight="1" x14ac:dyDescent="0.25">
      <c r="A6922"/>
    </row>
    <row r="6923" spans="1:1" ht="15" customHeight="1" x14ac:dyDescent="0.25">
      <c r="A6923"/>
    </row>
    <row r="6924" spans="1:1" ht="15" customHeight="1" x14ac:dyDescent="0.25">
      <c r="A6924"/>
    </row>
    <row r="6925" spans="1:1" ht="15" customHeight="1" x14ac:dyDescent="0.25">
      <c r="A6925"/>
    </row>
    <row r="6926" spans="1:1" ht="15" customHeight="1" x14ac:dyDescent="0.25">
      <c r="A6926"/>
    </row>
    <row r="6927" spans="1:1" ht="15" customHeight="1" x14ac:dyDescent="0.25">
      <c r="A6927"/>
    </row>
    <row r="6928" spans="1:1" ht="15" customHeight="1" x14ac:dyDescent="0.25">
      <c r="A6928"/>
    </row>
    <row r="6929" spans="1:1" ht="15" customHeight="1" x14ac:dyDescent="0.25">
      <c r="A6929"/>
    </row>
    <row r="6930" spans="1:1" ht="15" customHeight="1" x14ac:dyDescent="0.25">
      <c r="A6930"/>
    </row>
    <row r="6931" spans="1:1" ht="15" customHeight="1" x14ac:dyDescent="0.25">
      <c r="A6931"/>
    </row>
    <row r="6932" spans="1:1" ht="15" customHeight="1" x14ac:dyDescent="0.25">
      <c r="A6932"/>
    </row>
    <row r="6933" spans="1:1" ht="15" customHeight="1" x14ac:dyDescent="0.25">
      <c r="A6933"/>
    </row>
    <row r="6934" spans="1:1" ht="15" customHeight="1" x14ac:dyDescent="0.25">
      <c r="A6934"/>
    </row>
    <row r="6935" spans="1:1" ht="15" customHeight="1" x14ac:dyDescent="0.25">
      <c r="A6935"/>
    </row>
    <row r="6936" spans="1:1" ht="15" customHeight="1" x14ac:dyDescent="0.25">
      <c r="A6936"/>
    </row>
    <row r="6937" spans="1:1" ht="15" customHeight="1" x14ac:dyDescent="0.25">
      <c r="A6937"/>
    </row>
    <row r="6938" spans="1:1" ht="15" customHeight="1" x14ac:dyDescent="0.25">
      <c r="A6938"/>
    </row>
    <row r="6939" spans="1:1" ht="15" customHeight="1" x14ac:dyDescent="0.25">
      <c r="A6939"/>
    </row>
    <row r="6940" spans="1:1" ht="15" customHeight="1" x14ac:dyDescent="0.25">
      <c r="A6940"/>
    </row>
    <row r="6941" spans="1:1" ht="15" customHeight="1" x14ac:dyDescent="0.25">
      <c r="A6941"/>
    </row>
    <row r="6942" spans="1:1" ht="15" customHeight="1" x14ac:dyDescent="0.25">
      <c r="A6942"/>
    </row>
    <row r="6943" spans="1:1" ht="15" customHeight="1" x14ac:dyDescent="0.25">
      <c r="A6943"/>
    </row>
    <row r="6944" spans="1:1" ht="15" customHeight="1" x14ac:dyDescent="0.25">
      <c r="A6944"/>
    </row>
    <row r="6945" spans="1:1" ht="15" customHeight="1" x14ac:dyDescent="0.25">
      <c r="A6945"/>
    </row>
    <row r="6946" spans="1:1" ht="15" customHeight="1" x14ac:dyDescent="0.25">
      <c r="A6946"/>
    </row>
    <row r="6947" spans="1:1" ht="15" customHeight="1" x14ac:dyDescent="0.25">
      <c r="A6947"/>
    </row>
    <row r="6948" spans="1:1" ht="15" customHeight="1" x14ac:dyDescent="0.25">
      <c r="A6948"/>
    </row>
    <row r="6949" spans="1:1" ht="15" customHeight="1" x14ac:dyDescent="0.25">
      <c r="A6949"/>
    </row>
    <row r="6950" spans="1:1" ht="15" customHeight="1" x14ac:dyDescent="0.25">
      <c r="A6950"/>
    </row>
    <row r="6951" spans="1:1" ht="15" customHeight="1" x14ac:dyDescent="0.25">
      <c r="A6951"/>
    </row>
    <row r="6952" spans="1:1" ht="15" customHeight="1" x14ac:dyDescent="0.25">
      <c r="A6952"/>
    </row>
    <row r="6953" spans="1:1" ht="15" customHeight="1" x14ac:dyDescent="0.25">
      <c r="A6953"/>
    </row>
    <row r="6954" spans="1:1" ht="15" customHeight="1" x14ac:dyDescent="0.25">
      <c r="A6954"/>
    </row>
    <row r="6955" spans="1:1" ht="15" customHeight="1" x14ac:dyDescent="0.25">
      <c r="A6955"/>
    </row>
    <row r="6956" spans="1:1" ht="15" customHeight="1" x14ac:dyDescent="0.25">
      <c r="A6956"/>
    </row>
    <row r="6957" spans="1:1" ht="15" customHeight="1" x14ac:dyDescent="0.25">
      <c r="A6957"/>
    </row>
    <row r="6958" spans="1:1" ht="15" customHeight="1" x14ac:dyDescent="0.25">
      <c r="A6958"/>
    </row>
    <row r="6959" spans="1:1" ht="15" customHeight="1" x14ac:dyDescent="0.25">
      <c r="A6959"/>
    </row>
    <row r="6960" spans="1:1" ht="15" customHeight="1" x14ac:dyDescent="0.25">
      <c r="A6960"/>
    </row>
    <row r="6961" spans="1:1" ht="15" customHeight="1" x14ac:dyDescent="0.25">
      <c r="A6961"/>
    </row>
    <row r="6962" spans="1:1" ht="15" customHeight="1" x14ac:dyDescent="0.25">
      <c r="A6962"/>
    </row>
    <row r="6963" spans="1:1" ht="15" customHeight="1" x14ac:dyDescent="0.25">
      <c r="A6963"/>
    </row>
    <row r="6964" spans="1:1" ht="15" customHeight="1" x14ac:dyDescent="0.25">
      <c r="A6964"/>
    </row>
    <row r="6965" spans="1:1" ht="15" customHeight="1" x14ac:dyDescent="0.25">
      <c r="A6965"/>
    </row>
    <row r="6966" spans="1:1" ht="15" customHeight="1" x14ac:dyDescent="0.25">
      <c r="A6966"/>
    </row>
    <row r="6967" spans="1:1" ht="15" customHeight="1" x14ac:dyDescent="0.25">
      <c r="A6967"/>
    </row>
    <row r="6968" spans="1:1" ht="15" customHeight="1" x14ac:dyDescent="0.25">
      <c r="A6968"/>
    </row>
    <row r="6969" spans="1:1" ht="15" customHeight="1" x14ac:dyDescent="0.25">
      <c r="A6969"/>
    </row>
    <row r="6970" spans="1:1" ht="15" customHeight="1" x14ac:dyDescent="0.25">
      <c r="A6970"/>
    </row>
    <row r="6971" spans="1:1" ht="15" customHeight="1" x14ac:dyDescent="0.25">
      <c r="A6971"/>
    </row>
    <row r="6972" spans="1:1" ht="15" customHeight="1" x14ac:dyDescent="0.25">
      <c r="A6972"/>
    </row>
    <row r="6973" spans="1:1" ht="15" customHeight="1" x14ac:dyDescent="0.25">
      <c r="A6973"/>
    </row>
    <row r="6974" spans="1:1" ht="15" customHeight="1" x14ac:dyDescent="0.25">
      <c r="A6974"/>
    </row>
    <row r="6975" spans="1:1" ht="15" customHeight="1" x14ac:dyDescent="0.25">
      <c r="A6975"/>
    </row>
    <row r="6976" spans="1:1" ht="15" customHeight="1" x14ac:dyDescent="0.25">
      <c r="A6976"/>
    </row>
    <row r="6977" spans="1:1" ht="15" customHeight="1" x14ac:dyDescent="0.25">
      <c r="A6977"/>
    </row>
    <row r="6978" spans="1:1" ht="15" customHeight="1" x14ac:dyDescent="0.25">
      <c r="A6978"/>
    </row>
    <row r="6979" spans="1:1" ht="15" customHeight="1" x14ac:dyDescent="0.25">
      <c r="A6979"/>
    </row>
    <row r="6980" spans="1:1" ht="15" customHeight="1" x14ac:dyDescent="0.25">
      <c r="A6980"/>
    </row>
    <row r="6981" spans="1:1" ht="15" customHeight="1" x14ac:dyDescent="0.25">
      <c r="A6981"/>
    </row>
    <row r="6982" spans="1:1" ht="15" customHeight="1" x14ac:dyDescent="0.25">
      <c r="A6982"/>
    </row>
    <row r="6983" spans="1:1" ht="15" customHeight="1" x14ac:dyDescent="0.25">
      <c r="A6983"/>
    </row>
    <row r="6984" spans="1:1" ht="15" customHeight="1" x14ac:dyDescent="0.25">
      <c r="A6984"/>
    </row>
    <row r="6985" spans="1:1" ht="15" customHeight="1" x14ac:dyDescent="0.25">
      <c r="A6985"/>
    </row>
    <row r="6986" spans="1:1" ht="15" customHeight="1" x14ac:dyDescent="0.25">
      <c r="A6986"/>
    </row>
    <row r="6987" spans="1:1" ht="15" customHeight="1" x14ac:dyDescent="0.25">
      <c r="A6987"/>
    </row>
    <row r="6988" spans="1:1" ht="15" customHeight="1" x14ac:dyDescent="0.25">
      <c r="A6988"/>
    </row>
    <row r="6989" spans="1:1" ht="15" customHeight="1" x14ac:dyDescent="0.25">
      <c r="A6989"/>
    </row>
    <row r="6990" spans="1:1" ht="15" customHeight="1" x14ac:dyDescent="0.25">
      <c r="A6990"/>
    </row>
    <row r="6991" spans="1:1" ht="15" customHeight="1" x14ac:dyDescent="0.25">
      <c r="A6991"/>
    </row>
    <row r="6992" spans="1:1" ht="15" customHeight="1" x14ac:dyDescent="0.25">
      <c r="A6992"/>
    </row>
    <row r="6993" spans="1:1" ht="15" customHeight="1" x14ac:dyDescent="0.25">
      <c r="A6993"/>
    </row>
    <row r="6994" spans="1:1" ht="15" customHeight="1" x14ac:dyDescent="0.25">
      <c r="A6994"/>
    </row>
    <row r="6995" spans="1:1" ht="15" customHeight="1" x14ac:dyDescent="0.25">
      <c r="A6995"/>
    </row>
    <row r="6996" spans="1:1" ht="15" customHeight="1" x14ac:dyDescent="0.25">
      <c r="A6996"/>
    </row>
    <row r="6997" spans="1:1" ht="15" customHeight="1" x14ac:dyDescent="0.25">
      <c r="A6997"/>
    </row>
    <row r="6998" spans="1:1" ht="15" customHeight="1" x14ac:dyDescent="0.25">
      <c r="A6998"/>
    </row>
    <row r="6999" spans="1:1" ht="15" customHeight="1" x14ac:dyDescent="0.25">
      <c r="A6999"/>
    </row>
    <row r="7000" spans="1:1" ht="15" customHeight="1" x14ac:dyDescent="0.25">
      <c r="A7000"/>
    </row>
    <row r="7001" spans="1:1" ht="15" customHeight="1" x14ac:dyDescent="0.25">
      <c r="A7001"/>
    </row>
    <row r="7002" spans="1:1" ht="15" customHeight="1" x14ac:dyDescent="0.25">
      <c r="A7002"/>
    </row>
    <row r="7003" spans="1:1" ht="15" customHeight="1" x14ac:dyDescent="0.25">
      <c r="A7003"/>
    </row>
    <row r="7004" spans="1:1" ht="15" customHeight="1" x14ac:dyDescent="0.25">
      <c r="A7004"/>
    </row>
    <row r="7005" spans="1:1" ht="15" customHeight="1" x14ac:dyDescent="0.25">
      <c r="A7005"/>
    </row>
    <row r="7006" spans="1:1" ht="15" customHeight="1" x14ac:dyDescent="0.25">
      <c r="A7006"/>
    </row>
    <row r="7007" spans="1:1" ht="15" customHeight="1" x14ac:dyDescent="0.25">
      <c r="A7007"/>
    </row>
    <row r="7008" spans="1:1" ht="15" customHeight="1" x14ac:dyDescent="0.25">
      <c r="A7008"/>
    </row>
    <row r="7009" spans="1:1" ht="15" customHeight="1" x14ac:dyDescent="0.25">
      <c r="A7009"/>
    </row>
    <row r="7010" spans="1:1" ht="15" customHeight="1" x14ac:dyDescent="0.25">
      <c r="A7010"/>
    </row>
    <row r="7011" spans="1:1" ht="15" customHeight="1" x14ac:dyDescent="0.25">
      <c r="A7011"/>
    </row>
    <row r="7012" spans="1:1" ht="15" customHeight="1" x14ac:dyDescent="0.25">
      <c r="A7012"/>
    </row>
    <row r="7013" spans="1:1" ht="15" customHeight="1" x14ac:dyDescent="0.25">
      <c r="A7013"/>
    </row>
    <row r="7014" spans="1:1" ht="15" customHeight="1" x14ac:dyDescent="0.25">
      <c r="A7014"/>
    </row>
    <row r="7015" spans="1:1" ht="15" customHeight="1" x14ac:dyDescent="0.25">
      <c r="A7015"/>
    </row>
    <row r="7016" spans="1:1" ht="15" customHeight="1" x14ac:dyDescent="0.25">
      <c r="A7016"/>
    </row>
    <row r="7017" spans="1:1" ht="15" customHeight="1" x14ac:dyDescent="0.25">
      <c r="A7017"/>
    </row>
    <row r="7018" spans="1:1" ht="15" customHeight="1" x14ac:dyDescent="0.25">
      <c r="A7018"/>
    </row>
    <row r="7019" spans="1:1" ht="15" customHeight="1" x14ac:dyDescent="0.25">
      <c r="A7019"/>
    </row>
    <row r="7020" spans="1:1" ht="15" customHeight="1" x14ac:dyDescent="0.25">
      <c r="A7020"/>
    </row>
    <row r="7021" spans="1:1" ht="15" customHeight="1" x14ac:dyDescent="0.25">
      <c r="A7021"/>
    </row>
    <row r="7022" spans="1:1" ht="15" customHeight="1" x14ac:dyDescent="0.25">
      <c r="A7022"/>
    </row>
    <row r="7023" spans="1:1" ht="15" customHeight="1" x14ac:dyDescent="0.25">
      <c r="A7023"/>
    </row>
    <row r="7024" spans="1:1" ht="15" customHeight="1" x14ac:dyDescent="0.25">
      <c r="A7024"/>
    </row>
    <row r="7025" spans="1:1" ht="15" customHeight="1" x14ac:dyDescent="0.25">
      <c r="A7025"/>
    </row>
    <row r="7026" spans="1:1" ht="15" customHeight="1" x14ac:dyDescent="0.25">
      <c r="A7026"/>
    </row>
    <row r="7027" spans="1:1" ht="15" customHeight="1" x14ac:dyDescent="0.25">
      <c r="A7027"/>
    </row>
    <row r="7028" spans="1:1" ht="15" customHeight="1" x14ac:dyDescent="0.25">
      <c r="A7028"/>
    </row>
    <row r="7029" spans="1:1" ht="15" customHeight="1" x14ac:dyDescent="0.25">
      <c r="A7029"/>
    </row>
    <row r="7030" spans="1:1" ht="15" customHeight="1" x14ac:dyDescent="0.25">
      <c r="A7030"/>
    </row>
    <row r="7031" spans="1:1" ht="15" customHeight="1" x14ac:dyDescent="0.25">
      <c r="A7031"/>
    </row>
    <row r="7032" spans="1:1" ht="15" customHeight="1" x14ac:dyDescent="0.25">
      <c r="A7032"/>
    </row>
    <row r="7033" spans="1:1" ht="15" customHeight="1" x14ac:dyDescent="0.25">
      <c r="A7033"/>
    </row>
    <row r="7034" spans="1:1" ht="15" customHeight="1" x14ac:dyDescent="0.25">
      <c r="A7034"/>
    </row>
    <row r="7035" spans="1:1" ht="15" customHeight="1" x14ac:dyDescent="0.25">
      <c r="A7035"/>
    </row>
    <row r="7036" spans="1:1" ht="15" customHeight="1" x14ac:dyDescent="0.25">
      <c r="A7036"/>
    </row>
    <row r="7037" spans="1:1" ht="15" customHeight="1" x14ac:dyDescent="0.25">
      <c r="A7037"/>
    </row>
    <row r="7038" spans="1:1" ht="15" customHeight="1" x14ac:dyDescent="0.25">
      <c r="A7038"/>
    </row>
    <row r="7039" spans="1:1" ht="15" customHeight="1" x14ac:dyDescent="0.25">
      <c r="A7039"/>
    </row>
    <row r="7040" spans="1:1" ht="15" customHeight="1" x14ac:dyDescent="0.25">
      <c r="A7040"/>
    </row>
    <row r="7041" spans="1:1" ht="15" customHeight="1" x14ac:dyDescent="0.25">
      <c r="A7041"/>
    </row>
    <row r="7042" spans="1:1" ht="15" customHeight="1" x14ac:dyDescent="0.25">
      <c r="A7042"/>
    </row>
    <row r="7043" spans="1:1" ht="15" customHeight="1" x14ac:dyDescent="0.25">
      <c r="A7043"/>
    </row>
    <row r="7044" spans="1:1" ht="15" customHeight="1" x14ac:dyDescent="0.25">
      <c r="A7044"/>
    </row>
    <row r="7045" spans="1:1" ht="15" customHeight="1" x14ac:dyDescent="0.25">
      <c r="A7045"/>
    </row>
    <row r="7046" spans="1:1" ht="15" customHeight="1" x14ac:dyDescent="0.25">
      <c r="A7046"/>
    </row>
    <row r="7047" spans="1:1" ht="15" customHeight="1" x14ac:dyDescent="0.25">
      <c r="A7047"/>
    </row>
    <row r="7048" spans="1:1" ht="15" customHeight="1" x14ac:dyDescent="0.25">
      <c r="A7048"/>
    </row>
    <row r="7049" spans="1:1" ht="15" customHeight="1" x14ac:dyDescent="0.25">
      <c r="A7049"/>
    </row>
    <row r="7050" spans="1:1" ht="15" customHeight="1" x14ac:dyDescent="0.25">
      <c r="A7050"/>
    </row>
    <row r="7051" spans="1:1" ht="15" customHeight="1" x14ac:dyDescent="0.25">
      <c r="A7051"/>
    </row>
    <row r="7052" spans="1:1" ht="15" customHeight="1" x14ac:dyDescent="0.25">
      <c r="A7052"/>
    </row>
    <row r="7053" spans="1:1" ht="15" customHeight="1" x14ac:dyDescent="0.25">
      <c r="A7053"/>
    </row>
    <row r="7054" spans="1:1" ht="15" customHeight="1" x14ac:dyDescent="0.25">
      <c r="A7054"/>
    </row>
    <row r="7055" spans="1:1" ht="15" customHeight="1" x14ac:dyDescent="0.25">
      <c r="A7055"/>
    </row>
    <row r="7056" spans="1:1" ht="15" customHeight="1" x14ac:dyDescent="0.25">
      <c r="A7056"/>
    </row>
    <row r="7057" spans="1:1" ht="15" customHeight="1" x14ac:dyDescent="0.25">
      <c r="A7057"/>
    </row>
    <row r="7058" spans="1:1" ht="15" customHeight="1" x14ac:dyDescent="0.25">
      <c r="A7058"/>
    </row>
    <row r="7059" spans="1:1" ht="15" customHeight="1" x14ac:dyDescent="0.25">
      <c r="A7059"/>
    </row>
    <row r="7060" spans="1:1" ht="15" customHeight="1" x14ac:dyDescent="0.25">
      <c r="A7060"/>
    </row>
    <row r="7061" spans="1:1" ht="15" customHeight="1" x14ac:dyDescent="0.25">
      <c r="A7061"/>
    </row>
    <row r="7062" spans="1:1" ht="15" customHeight="1" x14ac:dyDescent="0.25">
      <c r="A7062"/>
    </row>
    <row r="7063" spans="1:1" ht="15" customHeight="1" x14ac:dyDescent="0.25">
      <c r="A7063"/>
    </row>
    <row r="7064" spans="1:1" ht="15" customHeight="1" x14ac:dyDescent="0.25">
      <c r="A7064"/>
    </row>
    <row r="7065" spans="1:1" ht="15" customHeight="1" x14ac:dyDescent="0.25">
      <c r="A7065"/>
    </row>
    <row r="7066" spans="1:1" ht="15" customHeight="1" x14ac:dyDescent="0.25">
      <c r="A7066"/>
    </row>
    <row r="7067" spans="1:1" ht="15" customHeight="1" x14ac:dyDescent="0.25">
      <c r="A7067"/>
    </row>
    <row r="7068" spans="1:1" ht="15" customHeight="1" x14ac:dyDescent="0.25">
      <c r="A7068"/>
    </row>
    <row r="7069" spans="1:1" ht="15" customHeight="1" x14ac:dyDescent="0.25">
      <c r="A7069"/>
    </row>
    <row r="7070" spans="1:1" ht="15" customHeight="1" x14ac:dyDescent="0.25">
      <c r="A7070"/>
    </row>
    <row r="7071" spans="1:1" ht="15" customHeight="1" x14ac:dyDescent="0.25">
      <c r="A7071"/>
    </row>
    <row r="7072" spans="1:1" ht="15" customHeight="1" x14ac:dyDescent="0.25">
      <c r="A7072"/>
    </row>
    <row r="7073" spans="1:1" ht="15" customHeight="1" x14ac:dyDescent="0.25">
      <c r="A7073"/>
    </row>
    <row r="7074" spans="1:1" ht="15" customHeight="1" x14ac:dyDescent="0.25">
      <c r="A7074"/>
    </row>
    <row r="7075" spans="1:1" ht="15" customHeight="1" x14ac:dyDescent="0.25">
      <c r="A7075"/>
    </row>
    <row r="7076" spans="1:1" ht="15" customHeight="1" x14ac:dyDescent="0.25">
      <c r="A7076"/>
    </row>
    <row r="7077" spans="1:1" ht="15" customHeight="1" x14ac:dyDescent="0.25">
      <c r="A7077"/>
    </row>
    <row r="7078" spans="1:1" ht="15" customHeight="1" x14ac:dyDescent="0.25">
      <c r="A7078"/>
    </row>
    <row r="7079" spans="1:1" ht="15" customHeight="1" x14ac:dyDescent="0.25">
      <c r="A7079"/>
    </row>
    <row r="7080" spans="1:1" ht="15" customHeight="1" x14ac:dyDescent="0.25">
      <c r="A7080"/>
    </row>
    <row r="7081" spans="1:1" ht="15" customHeight="1" x14ac:dyDescent="0.25">
      <c r="A7081"/>
    </row>
    <row r="7082" spans="1:1" ht="15" customHeight="1" x14ac:dyDescent="0.25">
      <c r="A7082"/>
    </row>
    <row r="7083" spans="1:1" ht="15" customHeight="1" x14ac:dyDescent="0.25">
      <c r="A7083"/>
    </row>
    <row r="7084" spans="1:1" ht="15" customHeight="1" x14ac:dyDescent="0.25">
      <c r="A7084"/>
    </row>
    <row r="7085" spans="1:1" ht="15" customHeight="1" x14ac:dyDescent="0.25">
      <c r="A7085"/>
    </row>
    <row r="7086" spans="1:1" ht="15" customHeight="1" x14ac:dyDescent="0.25">
      <c r="A7086"/>
    </row>
    <row r="7087" spans="1:1" ht="15" customHeight="1" x14ac:dyDescent="0.25">
      <c r="A7087"/>
    </row>
    <row r="7088" spans="1:1" ht="15" customHeight="1" x14ac:dyDescent="0.25">
      <c r="A7088"/>
    </row>
    <row r="7089" spans="1:1" ht="15" customHeight="1" x14ac:dyDescent="0.25">
      <c r="A7089"/>
    </row>
    <row r="7090" spans="1:1" ht="15" customHeight="1" x14ac:dyDescent="0.25">
      <c r="A7090"/>
    </row>
    <row r="7091" spans="1:1" ht="15" customHeight="1" x14ac:dyDescent="0.25">
      <c r="A7091"/>
    </row>
    <row r="7092" spans="1:1" ht="15" customHeight="1" x14ac:dyDescent="0.25">
      <c r="A7092"/>
    </row>
    <row r="7093" spans="1:1" ht="15" customHeight="1" x14ac:dyDescent="0.25">
      <c r="A7093"/>
    </row>
    <row r="7094" spans="1:1" ht="15" customHeight="1" x14ac:dyDescent="0.25">
      <c r="A7094"/>
    </row>
    <row r="7095" spans="1:1" ht="15" customHeight="1" x14ac:dyDescent="0.25">
      <c r="A7095"/>
    </row>
    <row r="7096" spans="1:1" ht="15" customHeight="1" x14ac:dyDescent="0.25">
      <c r="A7096"/>
    </row>
    <row r="7097" spans="1:1" ht="15" customHeight="1" x14ac:dyDescent="0.25">
      <c r="A7097"/>
    </row>
    <row r="7098" spans="1:1" ht="15" customHeight="1" x14ac:dyDescent="0.25">
      <c r="A7098"/>
    </row>
    <row r="7099" spans="1:1" ht="15" customHeight="1" x14ac:dyDescent="0.25">
      <c r="A7099"/>
    </row>
    <row r="7100" spans="1:1" ht="15" customHeight="1" x14ac:dyDescent="0.25">
      <c r="A7100"/>
    </row>
    <row r="7101" spans="1:1" ht="15" customHeight="1" x14ac:dyDescent="0.25">
      <c r="A7101"/>
    </row>
    <row r="7102" spans="1:1" ht="15" customHeight="1" x14ac:dyDescent="0.25">
      <c r="A7102"/>
    </row>
    <row r="7103" spans="1:1" ht="15" customHeight="1" x14ac:dyDescent="0.25">
      <c r="A7103"/>
    </row>
    <row r="7104" spans="1:1" ht="15" customHeight="1" x14ac:dyDescent="0.25">
      <c r="A7104"/>
    </row>
    <row r="7105" spans="1:1" ht="15" customHeight="1" x14ac:dyDescent="0.25">
      <c r="A7105"/>
    </row>
    <row r="7106" spans="1:1" ht="15" customHeight="1" x14ac:dyDescent="0.25">
      <c r="A7106"/>
    </row>
    <row r="7107" spans="1:1" ht="15" customHeight="1" x14ac:dyDescent="0.25">
      <c r="A7107"/>
    </row>
    <row r="7108" spans="1:1" ht="15" customHeight="1" x14ac:dyDescent="0.25">
      <c r="A7108"/>
    </row>
    <row r="7109" spans="1:1" ht="15" customHeight="1" x14ac:dyDescent="0.25">
      <c r="A7109"/>
    </row>
    <row r="7110" spans="1:1" ht="15" customHeight="1" x14ac:dyDescent="0.25">
      <c r="A7110"/>
    </row>
    <row r="7111" spans="1:1" ht="15" customHeight="1" x14ac:dyDescent="0.25">
      <c r="A7111"/>
    </row>
    <row r="7112" spans="1:1" ht="15" customHeight="1" x14ac:dyDescent="0.25">
      <c r="A7112"/>
    </row>
    <row r="7113" spans="1:1" ht="15" customHeight="1" x14ac:dyDescent="0.25">
      <c r="A7113"/>
    </row>
    <row r="7114" spans="1:1" ht="15" customHeight="1" x14ac:dyDescent="0.25">
      <c r="A7114"/>
    </row>
    <row r="7115" spans="1:1" ht="15" customHeight="1" x14ac:dyDescent="0.25">
      <c r="A7115"/>
    </row>
    <row r="7116" spans="1:1" ht="15" customHeight="1" x14ac:dyDescent="0.25">
      <c r="A7116"/>
    </row>
    <row r="7117" spans="1:1" ht="15" customHeight="1" x14ac:dyDescent="0.25">
      <c r="A7117"/>
    </row>
    <row r="7118" spans="1:1" ht="15" customHeight="1" x14ac:dyDescent="0.25">
      <c r="A7118"/>
    </row>
    <row r="7119" spans="1:1" ht="15" customHeight="1" x14ac:dyDescent="0.25">
      <c r="A7119"/>
    </row>
    <row r="7120" spans="1:1" ht="15" customHeight="1" x14ac:dyDescent="0.25">
      <c r="A7120"/>
    </row>
    <row r="7121" spans="1:1" ht="15" customHeight="1" x14ac:dyDescent="0.25">
      <c r="A7121"/>
    </row>
    <row r="7122" spans="1:1" ht="15" customHeight="1" x14ac:dyDescent="0.25">
      <c r="A7122"/>
    </row>
    <row r="7123" spans="1:1" ht="15" customHeight="1" x14ac:dyDescent="0.25">
      <c r="A7123"/>
    </row>
    <row r="7124" spans="1:1" ht="15" customHeight="1" x14ac:dyDescent="0.25">
      <c r="A7124"/>
    </row>
    <row r="7125" spans="1:1" ht="15" customHeight="1" x14ac:dyDescent="0.25">
      <c r="A7125"/>
    </row>
    <row r="7126" spans="1:1" ht="15" customHeight="1" x14ac:dyDescent="0.25">
      <c r="A7126"/>
    </row>
    <row r="7127" spans="1:1" ht="15" customHeight="1" x14ac:dyDescent="0.25">
      <c r="A7127"/>
    </row>
    <row r="7128" spans="1:1" ht="15" customHeight="1" x14ac:dyDescent="0.25">
      <c r="A7128"/>
    </row>
    <row r="7129" spans="1:1" ht="15" customHeight="1" x14ac:dyDescent="0.25">
      <c r="A7129"/>
    </row>
    <row r="7130" spans="1:1" ht="15" customHeight="1" x14ac:dyDescent="0.25">
      <c r="A7130"/>
    </row>
    <row r="7131" spans="1:1" ht="15" customHeight="1" x14ac:dyDescent="0.25">
      <c r="A7131"/>
    </row>
    <row r="7132" spans="1:1" ht="15" customHeight="1" x14ac:dyDescent="0.25">
      <c r="A7132"/>
    </row>
    <row r="7133" spans="1:1" ht="15" customHeight="1" x14ac:dyDescent="0.25">
      <c r="A7133"/>
    </row>
    <row r="7134" spans="1:1" ht="15" customHeight="1" x14ac:dyDescent="0.25">
      <c r="A7134"/>
    </row>
    <row r="7135" spans="1:1" ht="15" customHeight="1" x14ac:dyDescent="0.25">
      <c r="A7135"/>
    </row>
    <row r="7136" spans="1:1" ht="15" customHeight="1" x14ac:dyDescent="0.25">
      <c r="A7136"/>
    </row>
    <row r="7137" spans="1:1" ht="15" customHeight="1" x14ac:dyDescent="0.25">
      <c r="A7137"/>
    </row>
    <row r="7138" spans="1:1" ht="15" customHeight="1" x14ac:dyDescent="0.25">
      <c r="A7138"/>
    </row>
    <row r="7139" spans="1:1" ht="15" customHeight="1" x14ac:dyDescent="0.25">
      <c r="A7139"/>
    </row>
    <row r="7140" spans="1:1" ht="15" customHeight="1" x14ac:dyDescent="0.25">
      <c r="A7140"/>
    </row>
    <row r="7141" spans="1:1" ht="15" customHeight="1" x14ac:dyDescent="0.25">
      <c r="A7141"/>
    </row>
    <row r="7142" spans="1:1" ht="15" customHeight="1" x14ac:dyDescent="0.25">
      <c r="A7142"/>
    </row>
    <row r="7143" spans="1:1" ht="15" customHeight="1" x14ac:dyDescent="0.25">
      <c r="A7143"/>
    </row>
    <row r="7144" spans="1:1" ht="15" customHeight="1" x14ac:dyDescent="0.25">
      <c r="A7144"/>
    </row>
    <row r="7145" spans="1:1" ht="15" customHeight="1" x14ac:dyDescent="0.25">
      <c r="A7145"/>
    </row>
    <row r="7146" spans="1:1" ht="15" customHeight="1" x14ac:dyDescent="0.25">
      <c r="A7146"/>
    </row>
    <row r="7147" spans="1:1" ht="15" customHeight="1" x14ac:dyDescent="0.25">
      <c r="A7147"/>
    </row>
    <row r="7148" spans="1:1" ht="15" customHeight="1" x14ac:dyDescent="0.25">
      <c r="A7148"/>
    </row>
    <row r="7149" spans="1:1" ht="15" customHeight="1" x14ac:dyDescent="0.25">
      <c r="A7149"/>
    </row>
    <row r="7150" spans="1:1" ht="15" customHeight="1" x14ac:dyDescent="0.25">
      <c r="A7150"/>
    </row>
    <row r="7151" spans="1:1" ht="15" customHeight="1" x14ac:dyDescent="0.25">
      <c r="A7151"/>
    </row>
    <row r="7152" spans="1:1" ht="15" customHeight="1" x14ac:dyDescent="0.25">
      <c r="A7152"/>
    </row>
    <row r="7153" spans="1:1" ht="15" customHeight="1" x14ac:dyDescent="0.25">
      <c r="A7153"/>
    </row>
    <row r="7154" spans="1:1" ht="15" customHeight="1" x14ac:dyDescent="0.25">
      <c r="A7154"/>
    </row>
    <row r="7155" spans="1:1" ht="15" customHeight="1" x14ac:dyDescent="0.25">
      <c r="A7155"/>
    </row>
    <row r="7156" spans="1:1" ht="15" customHeight="1" x14ac:dyDescent="0.25">
      <c r="A7156"/>
    </row>
    <row r="7157" spans="1:1" ht="15" customHeight="1" x14ac:dyDescent="0.25">
      <c r="A7157"/>
    </row>
    <row r="7158" spans="1:1" ht="15" customHeight="1" x14ac:dyDescent="0.25">
      <c r="A7158"/>
    </row>
    <row r="7159" spans="1:1" ht="15" customHeight="1" x14ac:dyDescent="0.25">
      <c r="A7159"/>
    </row>
    <row r="7160" spans="1:1" ht="15" customHeight="1" x14ac:dyDescent="0.25">
      <c r="A7160"/>
    </row>
    <row r="7161" spans="1:1" ht="15" customHeight="1" x14ac:dyDescent="0.25">
      <c r="A7161"/>
    </row>
    <row r="7162" spans="1:1" ht="15" customHeight="1" x14ac:dyDescent="0.25">
      <c r="A7162"/>
    </row>
    <row r="7163" spans="1:1" ht="15" customHeight="1" x14ac:dyDescent="0.25">
      <c r="A7163"/>
    </row>
    <row r="7164" spans="1:1" ht="15" customHeight="1" x14ac:dyDescent="0.25">
      <c r="A7164"/>
    </row>
    <row r="7165" spans="1:1" ht="15" customHeight="1" x14ac:dyDescent="0.25">
      <c r="A7165"/>
    </row>
    <row r="7166" spans="1:1" ht="15" customHeight="1" x14ac:dyDescent="0.25">
      <c r="A7166"/>
    </row>
    <row r="7167" spans="1:1" ht="15" customHeight="1" x14ac:dyDescent="0.25">
      <c r="A7167"/>
    </row>
    <row r="7168" spans="1:1" ht="15" customHeight="1" x14ac:dyDescent="0.25">
      <c r="A7168"/>
    </row>
    <row r="7169" spans="1:1" ht="15" customHeight="1" x14ac:dyDescent="0.25">
      <c r="A7169"/>
    </row>
    <row r="7170" spans="1:1" ht="15" customHeight="1" x14ac:dyDescent="0.25">
      <c r="A7170"/>
    </row>
    <row r="7171" spans="1:1" ht="15" customHeight="1" x14ac:dyDescent="0.25">
      <c r="A7171"/>
    </row>
    <row r="7172" spans="1:1" ht="15" customHeight="1" x14ac:dyDescent="0.25">
      <c r="A7172"/>
    </row>
    <row r="7173" spans="1:1" ht="15" customHeight="1" x14ac:dyDescent="0.25">
      <c r="A7173"/>
    </row>
    <row r="7174" spans="1:1" ht="15" customHeight="1" x14ac:dyDescent="0.25">
      <c r="A7174"/>
    </row>
    <row r="7175" spans="1:1" ht="15" customHeight="1" x14ac:dyDescent="0.25">
      <c r="A7175"/>
    </row>
    <row r="7176" spans="1:1" ht="15" customHeight="1" x14ac:dyDescent="0.25">
      <c r="A7176"/>
    </row>
    <row r="7177" spans="1:1" ht="15" customHeight="1" x14ac:dyDescent="0.25">
      <c r="A7177"/>
    </row>
    <row r="7178" spans="1:1" ht="15" customHeight="1" x14ac:dyDescent="0.25">
      <c r="A7178"/>
    </row>
    <row r="7179" spans="1:1" ht="15" customHeight="1" x14ac:dyDescent="0.25">
      <c r="A7179"/>
    </row>
    <row r="7180" spans="1:1" ht="15" customHeight="1" x14ac:dyDescent="0.25">
      <c r="A7180"/>
    </row>
    <row r="7181" spans="1:1" ht="15" customHeight="1" x14ac:dyDescent="0.25">
      <c r="A7181"/>
    </row>
    <row r="7182" spans="1:1" ht="15" customHeight="1" x14ac:dyDescent="0.25">
      <c r="A7182"/>
    </row>
    <row r="7183" spans="1:1" ht="15" customHeight="1" x14ac:dyDescent="0.25">
      <c r="A7183"/>
    </row>
    <row r="7184" spans="1:1" ht="15" customHeight="1" x14ac:dyDescent="0.25">
      <c r="A7184"/>
    </row>
    <row r="7185" spans="1:1" ht="15" customHeight="1" x14ac:dyDescent="0.25">
      <c r="A7185"/>
    </row>
    <row r="7186" spans="1:1" ht="15" customHeight="1" x14ac:dyDescent="0.25">
      <c r="A7186"/>
    </row>
    <row r="7187" spans="1:1" ht="15" customHeight="1" x14ac:dyDescent="0.25">
      <c r="A7187"/>
    </row>
    <row r="7188" spans="1:1" ht="15" customHeight="1" x14ac:dyDescent="0.25">
      <c r="A7188"/>
    </row>
    <row r="7189" spans="1:1" ht="15" customHeight="1" x14ac:dyDescent="0.25">
      <c r="A7189"/>
    </row>
    <row r="7190" spans="1:1" ht="15" customHeight="1" x14ac:dyDescent="0.25">
      <c r="A7190"/>
    </row>
    <row r="7191" spans="1:1" ht="15" customHeight="1" x14ac:dyDescent="0.25">
      <c r="A7191"/>
    </row>
    <row r="7192" spans="1:1" ht="15" customHeight="1" x14ac:dyDescent="0.25">
      <c r="A7192"/>
    </row>
    <row r="7193" spans="1:1" ht="15" customHeight="1" x14ac:dyDescent="0.25">
      <c r="A7193"/>
    </row>
    <row r="7194" spans="1:1" ht="15" customHeight="1" x14ac:dyDescent="0.25">
      <c r="A7194"/>
    </row>
    <row r="7195" spans="1:1" ht="15" customHeight="1" x14ac:dyDescent="0.25">
      <c r="A7195"/>
    </row>
    <row r="7196" spans="1:1" ht="15" customHeight="1" x14ac:dyDescent="0.25">
      <c r="A7196"/>
    </row>
    <row r="7197" spans="1:1" ht="15" customHeight="1" x14ac:dyDescent="0.25">
      <c r="A7197"/>
    </row>
    <row r="7198" spans="1:1" ht="15" customHeight="1" x14ac:dyDescent="0.25">
      <c r="A7198"/>
    </row>
    <row r="7199" spans="1:1" ht="15" customHeight="1" x14ac:dyDescent="0.25">
      <c r="A7199"/>
    </row>
    <row r="7200" spans="1:1" ht="15" customHeight="1" x14ac:dyDescent="0.25">
      <c r="A7200"/>
    </row>
    <row r="7201" spans="1:1" ht="15" customHeight="1" x14ac:dyDescent="0.25">
      <c r="A7201"/>
    </row>
    <row r="7202" spans="1:1" ht="15" customHeight="1" x14ac:dyDescent="0.25">
      <c r="A7202"/>
    </row>
    <row r="7203" spans="1:1" ht="15" customHeight="1" x14ac:dyDescent="0.25">
      <c r="A7203"/>
    </row>
    <row r="7204" spans="1:1" ht="15" customHeight="1" x14ac:dyDescent="0.25">
      <c r="A7204"/>
    </row>
    <row r="7205" spans="1:1" ht="15" customHeight="1" x14ac:dyDescent="0.25">
      <c r="A7205"/>
    </row>
    <row r="7206" spans="1:1" ht="15" customHeight="1" x14ac:dyDescent="0.25">
      <c r="A7206"/>
    </row>
    <row r="7207" spans="1:1" ht="15" customHeight="1" x14ac:dyDescent="0.25">
      <c r="A7207"/>
    </row>
    <row r="7208" spans="1:1" ht="15" customHeight="1" x14ac:dyDescent="0.25">
      <c r="A7208"/>
    </row>
    <row r="7209" spans="1:1" ht="15" customHeight="1" x14ac:dyDescent="0.25">
      <c r="A7209"/>
    </row>
    <row r="7210" spans="1:1" ht="15" customHeight="1" x14ac:dyDescent="0.25">
      <c r="A7210"/>
    </row>
    <row r="7211" spans="1:1" ht="15" customHeight="1" x14ac:dyDescent="0.25">
      <c r="A7211"/>
    </row>
    <row r="7212" spans="1:1" ht="15" customHeight="1" x14ac:dyDescent="0.25">
      <c r="A7212"/>
    </row>
    <row r="7213" spans="1:1" ht="15" customHeight="1" x14ac:dyDescent="0.25">
      <c r="A7213"/>
    </row>
    <row r="7214" spans="1:1" ht="15" customHeight="1" x14ac:dyDescent="0.25">
      <c r="A7214"/>
    </row>
    <row r="7215" spans="1:1" ht="15" customHeight="1" x14ac:dyDescent="0.25">
      <c r="A7215"/>
    </row>
    <row r="7216" spans="1:1" ht="15" customHeight="1" x14ac:dyDescent="0.25">
      <c r="A7216"/>
    </row>
    <row r="7217" spans="1:1" ht="15" customHeight="1" x14ac:dyDescent="0.25">
      <c r="A7217"/>
    </row>
    <row r="7218" spans="1:1" ht="15" customHeight="1" x14ac:dyDescent="0.25">
      <c r="A7218"/>
    </row>
    <row r="7219" spans="1:1" ht="15" customHeight="1" x14ac:dyDescent="0.25">
      <c r="A7219"/>
    </row>
    <row r="7220" spans="1:1" ht="15" customHeight="1" x14ac:dyDescent="0.25">
      <c r="A7220"/>
    </row>
    <row r="7221" spans="1:1" ht="15" customHeight="1" x14ac:dyDescent="0.25">
      <c r="A7221"/>
    </row>
    <row r="7222" spans="1:1" ht="15" customHeight="1" x14ac:dyDescent="0.25">
      <c r="A7222"/>
    </row>
    <row r="7223" spans="1:1" ht="15" customHeight="1" x14ac:dyDescent="0.25">
      <c r="A7223"/>
    </row>
    <row r="7224" spans="1:1" ht="15" customHeight="1" x14ac:dyDescent="0.25">
      <c r="A7224"/>
    </row>
    <row r="7225" spans="1:1" ht="15" customHeight="1" x14ac:dyDescent="0.25">
      <c r="A7225"/>
    </row>
    <row r="7226" spans="1:1" ht="15" customHeight="1" x14ac:dyDescent="0.25">
      <c r="A7226"/>
    </row>
    <row r="7227" spans="1:1" ht="15" customHeight="1" x14ac:dyDescent="0.25">
      <c r="A7227"/>
    </row>
    <row r="7228" spans="1:1" ht="15" customHeight="1" x14ac:dyDescent="0.25">
      <c r="A7228"/>
    </row>
    <row r="7229" spans="1:1" ht="15" customHeight="1" x14ac:dyDescent="0.25">
      <c r="A7229"/>
    </row>
    <row r="7230" spans="1:1" ht="15" customHeight="1" x14ac:dyDescent="0.25">
      <c r="A7230"/>
    </row>
    <row r="7231" spans="1:1" ht="15" customHeight="1" x14ac:dyDescent="0.25">
      <c r="A7231"/>
    </row>
    <row r="7232" spans="1:1" ht="15" customHeight="1" x14ac:dyDescent="0.25">
      <c r="A7232"/>
    </row>
    <row r="7233" spans="1:1" ht="15" customHeight="1" x14ac:dyDescent="0.25">
      <c r="A7233"/>
    </row>
    <row r="7234" spans="1:1" ht="15" customHeight="1" x14ac:dyDescent="0.25">
      <c r="A7234"/>
    </row>
    <row r="7235" spans="1:1" ht="15" customHeight="1" x14ac:dyDescent="0.25">
      <c r="A7235"/>
    </row>
    <row r="7236" spans="1:1" ht="15" customHeight="1" x14ac:dyDescent="0.25">
      <c r="A7236"/>
    </row>
    <row r="7237" spans="1:1" ht="15" customHeight="1" x14ac:dyDescent="0.25">
      <c r="A7237"/>
    </row>
    <row r="7238" spans="1:1" ht="15" customHeight="1" x14ac:dyDescent="0.25">
      <c r="A7238"/>
    </row>
    <row r="7239" spans="1:1" ht="15" customHeight="1" x14ac:dyDescent="0.25">
      <c r="A7239"/>
    </row>
    <row r="7240" spans="1:1" ht="15" customHeight="1" x14ac:dyDescent="0.25">
      <c r="A7240"/>
    </row>
    <row r="7241" spans="1:1" ht="15" customHeight="1" x14ac:dyDescent="0.25">
      <c r="A7241"/>
    </row>
    <row r="7242" spans="1:1" ht="15" customHeight="1" x14ac:dyDescent="0.25">
      <c r="A7242"/>
    </row>
    <row r="7243" spans="1:1" ht="15" customHeight="1" x14ac:dyDescent="0.25">
      <c r="A7243"/>
    </row>
    <row r="7244" spans="1:1" ht="15" customHeight="1" x14ac:dyDescent="0.25">
      <c r="A7244"/>
    </row>
    <row r="7245" spans="1:1" ht="15" customHeight="1" x14ac:dyDescent="0.25">
      <c r="A7245"/>
    </row>
    <row r="7246" spans="1:1" ht="15" customHeight="1" x14ac:dyDescent="0.25">
      <c r="A7246"/>
    </row>
    <row r="7247" spans="1:1" ht="15" customHeight="1" x14ac:dyDescent="0.25">
      <c r="A7247"/>
    </row>
    <row r="7248" spans="1:1" ht="15" customHeight="1" x14ac:dyDescent="0.25">
      <c r="A7248"/>
    </row>
    <row r="7249" spans="1:1" ht="15" customHeight="1" x14ac:dyDescent="0.25">
      <c r="A7249"/>
    </row>
    <row r="7250" spans="1:1" ht="15" customHeight="1" x14ac:dyDescent="0.25">
      <c r="A7250"/>
    </row>
    <row r="7251" spans="1:1" ht="15" customHeight="1" x14ac:dyDescent="0.25">
      <c r="A7251"/>
    </row>
    <row r="7252" spans="1:1" ht="15" customHeight="1" x14ac:dyDescent="0.25">
      <c r="A7252"/>
    </row>
    <row r="7253" spans="1:1" ht="15" customHeight="1" x14ac:dyDescent="0.25">
      <c r="A7253"/>
    </row>
    <row r="7254" spans="1:1" ht="15" customHeight="1" x14ac:dyDescent="0.25">
      <c r="A7254"/>
    </row>
    <row r="7255" spans="1:1" ht="15" customHeight="1" x14ac:dyDescent="0.25">
      <c r="A7255"/>
    </row>
    <row r="7256" spans="1:1" ht="15" customHeight="1" x14ac:dyDescent="0.25">
      <c r="A7256"/>
    </row>
    <row r="7257" spans="1:1" ht="15" customHeight="1" x14ac:dyDescent="0.25">
      <c r="A7257"/>
    </row>
    <row r="7258" spans="1:1" ht="15" customHeight="1" x14ac:dyDescent="0.25">
      <c r="A7258"/>
    </row>
    <row r="7259" spans="1:1" ht="15" customHeight="1" x14ac:dyDescent="0.25">
      <c r="A7259"/>
    </row>
    <row r="7260" spans="1:1" ht="15" customHeight="1" x14ac:dyDescent="0.25">
      <c r="A7260"/>
    </row>
    <row r="7261" spans="1:1" ht="15" customHeight="1" x14ac:dyDescent="0.25">
      <c r="A7261"/>
    </row>
    <row r="7262" spans="1:1" ht="15" customHeight="1" x14ac:dyDescent="0.25">
      <c r="A7262"/>
    </row>
    <row r="7263" spans="1:1" ht="15" customHeight="1" x14ac:dyDescent="0.25">
      <c r="A7263"/>
    </row>
    <row r="7264" spans="1:1" ht="15" customHeight="1" x14ac:dyDescent="0.25">
      <c r="A7264"/>
    </row>
    <row r="7265" spans="1:1" ht="15" customHeight="1" x14ac:dyDescent="0.25">
      <c r="A7265"/>
    </row>
    <row r="7266" spans="1:1" ht="15" customHeight="1" x14ac:dyDescent="0.25">
      <c r="A7266"/>
    </row>
    <row r="7267" spans="1:1" ht="15" customHeight="1" x14ac:dyDescent="0.25">
      <c r="A7267"/>
    </row>
    <row r="7268" spans="1:1" ht="15" customHeight="1" x14ac:dyDescent="0.25">
      <c r="A7268"/>
    </row>
    <row r="7269" spans="1:1" ht="15" customHeight="1" x14ac:dyDescent="0.25">
      <c r="A7269"/>
    </row>
    <row r="7270" spans="1:1" ht="15" customHeight="1" x14ac:dyDescent="0.25">
      <c r="A7270"/>
    </row>
    <row r="7271" spans="1:1" ht="15" customHeight="1" x14ac:dyDescent="0.25">
      <c r="A7271"/>
    </row>
    <row r="7272" spans="1:1" ht="15" customHeight="1" x14ac:dyDescent="0.25">
      <c r="A7272"/>
    </row>
    <row r="7273" spans="1:1" ht="15" customHeight="1" x14ac:dyDescent="0.25">
      <c r="A7273"/>
    </row>
    <row r="7274" spans="1:1" ht="15" customHeight="1" x14ac:dyDescent="0.25">
      <c r="A7274"/>
    </row>
    <row r="7275" spans="1:1" ht="15" customHeight="1" x14ac:dyDescent="0.25">
      <c r="A7275"/>
    </row>
    <row r="7276" spans="1:1" ht="15" customHeight="1" x14ac:dyDescent="0.25">
      <c r="A7276"/>
    </row>
    <row r="7277" spans="1:1" ht="15" customHeight="1" x14ac:dyDescent="0.25">
      <c r="A7277"/>
    </row>
    <row r="7278" spans="1:1" ht="15" customHeight="1" x14ac:dyDescent="0.25">
      <c r="A7278"/>
    </row>
    <row r="7279" spans="1:1" ht="15" customHeight="1" x14ac:dyDescent="0.25">
      <c r="A7279"/>
    </row>
    <row r="7280" spans="1:1" ht="15" customHeight="1" x14ac:dyDescent="0.25">
      <c r="A7280"/>
    </row>
    <row r="7281" spans="1:1" ht="15" customHeight="1" x14ac:dyDescent="0.25">
      <c r="A7281"/>
    </row>
    <row r="7282" spans="1:1" ht="15" customHeight="1" x14ac:dyDescent="0.25">
      <c r="A7282"/>
    </row>
    <row r="7283" spans="1:1" ht="15" customHeight="1" x14ac:dyDescent="0.25">
      <c r="A7283"/>
    </row>
    <row r="7284" spans="1:1" ht="15" customHeight="1" x14ac:dyDescent="0.25">
      <c r="A7284"/>
    </row>
    <row r="7285" spans="1:1" ht="15" customHeight="1" x14ac:dyDescent="0.25">
      <c r="A7285"/>
    </row>
    <row r="7286" spans="1:1" ht="15" customHeight="1" x14ac:dyDescent="0.25">
      <c r="A7286"/>
    </row>
    <row r="7287" spans="1:1" ht="15" customHeight="1" x14ac:dyDescent="0.25">
      <c r="A7287"/>
    </row>
    <row r="7288" spans="1:1" ht="15" customHeight="1" x14ac:dyDescent="0.25">
      <c r="A7288"/>
    </row>
    <row r="7289" spans="1:1" ht="15" customHeight="1" x14ac:dyDescent="0.25">
      <c r="A7289"/>
    </row>
    <row r="7290" spans="1:1" ht="15" customHeight="1" x14ac:dyDescent="0.25">
      <c r="A7290"/>
    </row>
    <row r="7291" spans="1:1" ht="15" customHeight="1" x14ac:dyDescent="0.25">
      <c r="A7291"/>
    </row>
    <row r="7292" spans="1:1" ht="15" customHeight="1" x14ac:dyDescent="0.25">
      <c r="A7292"/>
    </row>
    <row r="7293" spans="1:1" ht="15" customHeight="1" x14ac:dyDescent="0.25">
      <c r="A7293"/>
    </row>
    <row r="7294" spans="1:1" ht="15" customHeight="1" x14ac:dyDescent="0.25">
      <c r="A7294"/>
    </row>
    <row r="7295" spans="1:1" ht="15" customHeight="1" x14ac:dyDescent="0.25">
      <c r="A7295"/>
    </row>
    <row r="7296" spans="1:1" ht="15" customHeight="1" x14ac:dyDescent="0.25">
      <c r="A7296"/>
    </row>
    <row r="7297" spans="1:1" ht="15" customHeight="1" x14ac:dyDescent="0.25">
      <c r="A7297"/>
    </row>
    <row r="7298" spans="1:1" ht="15" customHeight="1" x14ac:dyDescent="0.25">
      <c r="A7298"/>
    </row>
    <row r="7299" spans="1:1" ht="15" customHeight="1" x14ac:dyDescent="0.25">
      <c r="A7299"/>
    </row>
    <row r="7300" spans="1:1" ht="15" customHeight="1" x14ac:dyDescent="0.25">
      <c r="A7300"/>
    </row>
    <row r="7301" spans="1:1" ht="15" customHeight="1" x14ac:dyDescent="0.25">
      <c r="A7301"/>
    </row>
    <row r="7302" spans="1:1" ht="15" customHeight="1" x14ac:dyDescent="0.25">
      <c r="A7302"/>
    </row>
    <row r="7303" spans="1:1" ht="15" customHeight="1" x14ac:dyDescent="0.25">
      <c r="A7303"/>
    </row>
    <row r="7304" spans="1:1" ht="15" customHeight="1" x14ac:dyDescent="0.25">
      <c r="A7304"/>
    </row>
    <row r="7305" spans="1:1" ht="15" customHeight="1" x14ac:dyDescent="0.25">
      <c r="A7305"/>
    </row>
    <row r="7306" spans="1:1" ht="15" customHeight="1" x14ac:dyDescent="0.25">
      <c r="A7306"/>
    </row>
    <row r="7307" spans="1:1" ht="15" customHeight="1" x14ac:dyDescent="0.25">
      <c r="A7307"/>
    </row>
    <row r="7308" spans="1:1" ht="15" customHeight="1" x14ac:dyDescent="0.25">
      <c r="A7308"/>
    </row>
    <row r="7309" spans="1:1" ht="15" customHeight="1" x14ac:dyDescent="0.25">
      <c r="A7309"/>
    </row>
    <row r="7310" spans="1:1" ht="15" customHeight="1" x14ac:dyDescent="0.25">
      <c r="A7310"/>
    </row>
    <row r="7311" spans="1:1" ht="15" customHeight="1" x14ac:dyDescent="0.25">
      <c r="A7311"/>
    </row>
    <row r="7312" spans="1:1" ht="15" customHeight="1" x14ac:dyDescent="0.25">
      <c r="A7312"/>
    </row>
    <row r="7313" spans="1:1" ht="15" customHeight="1" x14ac:dyDescent="0.25">
      <c r="A7313"/>
    </row>
    <row r="7314" spans="1:1" ht="15" customHeight="1" x14ac:dyDescent="0.25">
      <c r="A7314"/>
    </row>
    <row r="7315" spans="1:1" ht="15" customHeight="1" x14ac:dyDescent="0.25">
      <c r="A7315"/>
    </row>
    <row r="7316" spans="1:1" ht="15" customHeight="1" x14ac:dyDescent="0.25">
      <c r="A7316"/>
    </row>
    <row r="7317" spans="1:1" ht="15" customHeight="1" x14ac:dyDescent="0.25">
      <c r="A7317"/>
    </row>
    <row r="7318" spans="1:1" ht="15" customHeight="1" x14ac:dyDescent="0.25">
      <c r="A7318"/>
    </row>
    <row r="7319" spans="1:1" ht="15" customHeight="1" x14ac:dyDescent="0.25">
      <c r="A7319"/>
    </row>
    <row r="7320" spans="1:1" ht="15" customHeight="1" x14ac:dyDescent="0.25">
      <c r="A7320"/>
    </row>
    <row r="7321" spans="1:1" ht="15" customHeight="1" x14ac:dyDescent="0.25">
      <c r="A7321"/>
    </row>
    <row r="7322" spans="1:1" ht="15" customHeight="1" x14ac:dyDescent="0.25">
      <c r="A7322"/>
    </row>
    <row r="7323" spans="1:1" ht="15" customHeight="1" x14ac:dyDescent="0.25">
      <c r="A7323"/>
    </row>
    <row r="7324" spans="1:1" ht="15" customHeight="1" x14ac:dyDescent="0.25">
      <c r="A7324"/>
    </row>
    <row r="7325" spans="1:1" ht="15" customHeight="1" x14ac:dyDescent="0.25">
      <c r="A7325"/>
    </row>
    <row r="7326" spans="1:1" ht="15" customHeight="1" x14ac:dyDescent="0.25">
      <c r="A7326"/>
    </row>
    <row r="7327" spans="1:1" ht="15" customHeight="1" x14ac:dyDescent="0.25">
      <c r="A7327"/>
    </row>
    <row r="7328" spans="1:1" ht="15" customHeight="1" x14ac:dyDescent="0.25">
      <c r="A7328"/>
    </row>
    <row r="7329" spans="1:1" ht="15" customHeight="1" x14ac:dyDescent="0.25">
      <c r="A7329"/>
    </row>
    <row r="7330" spans="1:1" ht="15" customHeight="1" x14ac:dyDescent="0.25">
      <c r="A7330"/>
    </row>
    <row r="7331" spans="1:1" ht="15" customHeight="1" x14ac:dyDescent="0.25">
      <c r="A7331"/>
    </row>
    <row r="7332" spans="1:1" ht="15" customHeight="1" x14ac:dyDescent="0.25">
      <c r="A7332"/>
    </row>
    <row r="7333" spans="1:1" ht="15" customHeight="1" x14ac:dyDescent="0.25">
      <c r="A7333"/>
    </row>
    <row r="7334" spans="1:1" ht="15" customHeight="1" x14ac:dyDescent="0.25">
      <c r="A7334"/>
    </row>
    <row r="7335" spans="1:1" ht="15" customHeight="1" x14ac:dyDescent="0.25">
      <c r="A7335"/>
    </row>
    <row r="7336" spans="1:1" ht="15" customHeight="1" x14ac:dyDescent="0.25">
      <c r="A7336"/>
    </row>
    <row r="7337" spans="1:1" ht="15" customHeight="1" x14ac:dyDescent="0.25">
      <c r="A7337"/>
    </row>
    <row r="7338" spans="1:1" ht="15" customHeight="1" x14ac:dyDescent="0.25">
      <c r="A7338"/>
    </row>
    <row r="7339" spans="1:1" ht="15" customHeight="1" x14ac:dyDescent="0.25">
      <c r="A7339"/>
    </row>
    <row r="7340" spans="1:1" ht="15" customHeight="1" x14ac:dyDescent="0.25">
      <c r="A7340"/>
    </row>
    <row r="7341" spans="1:1" ht="15" customHeight="1" x14ac:dyDescent="0.25">
      <c r="A7341"/>
    </row>
    <row r="7342" spans="1:1" ht="15" customHeight="1" x14ac:dyDescent="0.25">
      <c r="A7342"/>
    </row>
    <row r="7343" spans="1:1" ht="15" customHeight="1" x14ac:dyDescent="0.25">
      <c r="A7343"/>
    </row>
    <row r="7344" spans="1:1" ht="15" customHeight="1" x14ac:dyDescent="0.25">
      <c r="A7344"/>
    </row>
    <row r="7345" spans="1:1" ht="15" customHeight="1" x14ac:dyDescent="0.25">
      <c r="A7345"/>
    </row>
    <row r="7346" spans="1:1" ht="15" customHeight="1" x14ac:dyDescent="0.25">
      <c r="A7346"/>
    </row>
    <row r="7347" spans="1:1" ht="15" customHeight="1" x14ac:dyDescent="0.25">
      <c r="A7347"/>
    </row>
    <row r="7348" spans="1:1" ht="15" customHeight="1" x14ac:dyDescent="0.25">
      <c r="A7348"/>
    </row>
    <row r="7349" spans="1:1" ht="15" customHeight="1" x14ac:dyDescent="0.25">
      <c r="A7349"/>
    </row>
    <row r="7350" spans="1:1" ht="15" customHeight="1" x14ac:dyDescent="0.25">
      <c r="A7350"/>
    </row>
    <row r="7351" spans="1:1" ht="15" customHeight="1" x14ac:dyDescent="0.25">
      <c r="A7351"/>
    </row>
    <row r="7352" spans="1:1" ht="15" customHeight="1" x14ac:dyDescent="0.25">
      <c r="A7352"/>
    </row>
    <row r="7353" spans="1:1" ht="15" customHeight="1" x14ac:dyDescent="0.25">
      <c r="A7353"/>
    </row>
    <row r="7354" spans="1:1" ht="15" customHeight="1" x14ac:dyDescent="0.25">
      <c r="A7354"/>
    </row>
    <row r="7355" spans="1:1" ht="15" customHeight="1" x14ac:dyDescent="0.25">
      <c r="A7355"/>
    </row>
    <row r="7356" spans="1:1" ht="15" customHeight="1" x14ac:dyDescent="0.25">
      <c r="A7356"/>
    </row>
    <row r="7357" spans="1:1" ht="15" customHeight="1" x14ac:dyDescent="0.25">
      <c r="A7357"/>
    </row>
    <row r="7358" spans="1:1" ht="15" customHeight="1" x14ac:dyDescent="0.25">
      <c r="A7358"/>
    </row>
    <row r="7359" spans="1:1" ht="15" customHeight="1" x14ac:dyDescent="0.25">
      <c r="A7359"/>
    </row>
    <row r="7360" spans="1:1" ht="15" customHeight="1" x14ac:dyDescent="0.25">
      <c r="A7360"/>
    </row>
    <row r="7361" spans="1:1" ht="15" customHeight="1" x14ac:dyDescent="0.25">
      <c r="A7361"/>
    </row>
    <row r="7362" spans="1:1" ht="15" customHeight="1" x14ac:dyDescent="0.25">
      <c r="A7362"/>
    </row>
    <row r="7363" spans="1:1" ht="15" customHeight="1" x14ac:dyDescent="0.25">
      <c r="A7363"/>
    </row>
    <row r="7364" spans="1:1" ht="15" customHeight="1" x14ac:dyDescent="0.25">
      <c r="A7364"/>
    </row>
    <row r="7365" spans="1:1" ht="15" customHeight="1" x14ac:dyDescent="0.25">
      <c r="A7365"/>
    </row>
    <row r="7366" spans="1:1" ht="15" customHeight="1" x14ac:dyDescent="0.25">
      <c r="A7366"/>
    </row>
    <row r="7367" spans="1:1" ht="15" customHeight="1" x14ac:dyDescent="0.25">
      <c r="A7367"/>
    </row>
    <row r="7368" spans="1:1" ht="15" customHeight="1" x14ac:dyDescent="0.25">
      <c r="A7368"/>
    </row>
    <row r="7369" spans="1:1" ht="15" customHeight="1" x14ac:dyDescent="0.25">
      <c r="A7369"/>
    </row>
    <row r="7370" spans="1:1" ht="15" customHeight="1" x14ac:dyDescent="0.25">
      <c r="A7370"/>
    </row>
    <row r="7371" spans="1:1" ht="15" customHeight="1" x14ac:dyDescent="0.25">
      <c r="A7371"/>
    </row>
    <row r="7372" spans="1:1" ht="15" customHeight="1" x14ac:dyDescent="0.25">
      <c r="A7372"/>
    </row>
    <row r="7373" spans="1:1" ht="15" customHeight="1" x14ac:dyDescent="0.25">
      <c r="A7373"/>
    </row>
    <row r="7374" spans="1:1" ht="15" customHeight="1" x14ac:dyDescent="0.25">
      <c r="A7374"/>
    </row>
    <row r="7375" spans="1:1" ht="15" customHeight="1" x14ac:dyDescent="0.25">
      <c r="A7375"/>
    </row>
    <row r="7376" spans="1:1" ht="15" customHeight="1" x14ac:dyDescent="0.25">
      <c r="A7376"/>
    </row>
    <row r="7377" spans="1:1" ht="15" customHeight="1" x14ac:dyDescent="0.25">
      <c r="A7377"/>
    </row>
    <row r="7378" spans="1:1" ht="15" customHeight="1" x14ac:dyDescent="0.25">
      <c r="A7378"/>
    </row>
    <row r="7379" spans="1:1" ht="15" customHeight="1" x14ac:dyDescent="0.25">
      <c r="A7379"/>
    </row>
    <row r="7380" spans="1:1" ht="15" customHeight="1" x14ac:dyDescent="0.25">
      <c r="A7380"/>
    </row>
    <row r="7381" spans="1:1" ht="15" customHeight="1" x14ac:dyDescent="0.25">
      <c r="A7381"/>
    </row>
    <row r="7382" spans="1:1" ht="15" customHeight="1" x14ac:dyDescent="0.25">
      <c r="A7382"/>
    </row>
    <row r="7383" spans="1:1" ht="15" customHeight="1" x14ac:dyDescent="0.25">
      <c r="A7383"/>
    </row>
    <row r="7384" spans="1:1" ht="15" customHeight="1" x14ac:dyDescent="0.25">
      <c r="A7384"/>
    </row>
    <row r="7385" spans="1:1" ht="15" customHeight="1" x14ac:dyDescent="0.25">
      <c r="A7385"/>
    </row>
    <row r="7386" spans="1:1" ht="15" customHeight="1" x14ac:dyDescent="0.25">
      <c r="A7386"/>
    </row>
    <row r="7387" spans="1:1" ht="15" customHeight="1" x14ac:dyDescent="0.25">
      <c r="A7387"/>
    </row>
    <row r="7388" spans="1:1" ht="15" customHeight="1" x14ac:dyDescent="0.25">
      <c r="A7388"/>
    </row>
    <row r="7389" spans="1:1" ht="15" customHeight="1" x14ac:dyDescent="0.25">
      <c r="A7389"/>
    </row>
    <row r="7390" spans="1:1" ht="15" customHeight="1" x14ac:dyDescent="0.25">
      <c r="A7390"/>
    </row>
    <row r="7391" spans="1:1" ht="15" customHeight="1" x14ac:dyDescent="0.25">
      <c r="A7391"/>
    </row>
    <row r="7392" spans="1:1" ht="15" customHeight="1" x14ac:dyDescent="0.25">
      <c r="A7392"/>
    </row>
    <row r="7393" spans="1:1" ht="15" customHeight="1" x14ac:dyDescent="0.25">
      <c r="A7393"/>
    </row>
    <row r="7394" spans="1:1" ht="15" customHeight="1" x14ac:dyDescent="0.25">
      <c r="A7394"/>
    </row>
    <row r="7395" spans="1:1" ht="15" customHeight="1" x14ac:dyDescent="0.25">
      <c r="A7395"/>
    </row>
    <row r="7396" spans="1:1" ht="15" customHeight="1" x14ac:dyDescent="0.25">
      <c r="A7396"/>
    </row>
    <row r="7397" spans="1:1" ht="15" customHeight="1" x14ac:dyDescent="0.25">
      <c r="A7397"/>
    </row>
    <row r="7398" spans="1:1" ht="15" customHeight="1" x14ac:dyDescent="0.25">
      <c r="A7398"/>
    </row>
    <row r="7399" spans="1:1" ht="15" customHeight="1" x14ac:dyDescent="0.25">
      <c r="A7399"/>
    </row>
    <row r="7400" spans="1:1" ht="15" customHeight="1" x14ac:dyDescent="0.25">
      <c r="A7400"/>
    </row>
    <row r="7401" spans="1:1" ht="15" customHeight="1" x14ac:dyDescent="0.25">
      <c r="A7401"/>
    </row>
    <row r="7402" spans="1:1" ht="15" customHeight="1" x14ac:dyDescent="0.25">
      <c r="A7402"/>
    </row>
    <row r="7403" spans="1:1" ht="15" customHeight="1" x14ac:dyDescent="0.25">
      <c r="A7403"/>
    </row>
    <row r="7404" spans="1:1" ht="15" customHeight="1" x14ac:dyDescent="0.25">
      <c r="A7404"/>
    </row>
    <row r="7405" spans="1:1" ht="15" customHeight="1" x14ac:dyDescent="0.25">
      <c r="A7405"/>
    </row>
    <row r="7406" spans="1:1" ht="15" customHeight="1" x14ac:dyDescent="0.25">
      <c r="A7406"/>
    </row>
    <row r="7407" spans="1:1" ht="15" customHeight="1" x14ac:dyDescent="0.25">
      <c r="A7407"/>
    </row>
    <row r="7408" spans="1:1" ht="15" customHeight="1" x14ac:dyDescent="0.25">
      <c r="A7408"/>
    </row>
    <row r="7409" spans="1:1" ht="15" customHeight="1" x14ac:dyDescent="0.25">
      <c r="A7409"/>
    </row>
    <row r="7410" spans="1:1" ht="15" customHeight="1" x14ac:dyDescent="0.25">
      <c r="A7410"/>
    </row>
    <row r="7411" spans="1:1" ht="15" customHeight="1" x14ac:dyDescent="0.25">
      <c r="A7411"/>
    </row>
    <row r="7412" spans="1:1" ht="15" customHeight="1" x14ac:dyDescent="0.25">
      <c r="A7412"/>
    </row>
    <row r="7413" spans="1:1" ht="15" customHeight="1" x14ac:dyDescent="0.25">
      <c r="A7413"/>
    </row>
    <row r="7414" spans="1:1" ht="15" customHeight="1" x14ac:dyDescent="0.25">
      <c r="A7414"/>
    </row>
    <row r="7415" spans="1:1" ht="15" customHeight="1" x14ac:dyDescent="0.25">
      <c r="A7415"/>
    </row>
    <row r="7416" spans="1:1" ht="15" customHeight="1" x14ac:dyDescent="0.25">
      <c r="A7416"/>
    </row>
    <row r="7417" spans="1:1" ht="15" customHeight="1" x14ac:dyDescent="0.25">
      <c r="A7417"/>
    </row>
    <row r="7418" spans="1:1" ht="15" customHeight="1" x14ac:dyDescent="0.25">
      <c r="A7418"/>
    </row>
    <row r="7419" spans="1:1" ht="15" customHeight="1" x14ac:dyDescent="0.25">
      <c r="A7419"/>
    </row>
    <row r="7420" spans="1:1" ht="15" customHeight="1" x14ac:dyDescent="0.25">
      <c r="A7420"/>
    </row>
    <row r="7421" spans="1:1" ht="15" customHeight="1" x14ac:dyDescent="0.25">
      <c r="A7421"/>
    </row>
    <row r="7422" spans="1:1" ht="15" customHeight="1" x14ac:dyDescent="0.25">
      <c r="A7422"/>
    </row>
    <row r="7423" spans="1:1" ht="15" customHeight="1" x14ac:dyDescent="0.25">
      <c r="A7423"/>
    </row>
    <row r="7424" spans="1:1" ht="15" customHeight="1" x14ac:dyDescent="0.25">
      <c r="A7424"/>
    </row>
    <row r="7425" spans="1:1" ht="15" customHeight="1" x14ac:dyDescent="0.25">
      <c r="A7425"/>
    </row>
    <row r="7426" spans="1:1" ht="15" customHeight="1" x14ac:dyDescent="0.25">
      <c r="A7426"/>
    </row>
    <row r="7427" spans="1:1" ht="15" customHeight="1" x14ac:dyDescent="0.25">
      <c r="A7427"/>
    </row>
    <row r="7428" spans="1:1" ht="15" customHeight="1" x14ac:dyDescent="0.25">
      <c r="A7428"/>
    </row>
    <row r="7429" spans="1:1" ht="15" customHeight="1" x14ac:dyDescent="0.25">
      <c r="A7429"/>
    </row>
    <row r="7430" spans="1:1" ht="15" customHeight="1" x14ac:dyDescent="0.25">
      <c r="A7430"/>
    </row>
    <row r="7431" spans="1:1" ht="15" customHeight="1" x14ac:dyDescent="0.25">
      <c r="A7431"/>
    </row>
    <row r="7432" spans="1:1" ht="15" customHeight="1" x14ac:dyDescent="0.25">
      <c r="A7432"/>
    </row>
    <row r="7433" spans="1:1" ht="15" customHeight="1" x14ac:dyDescent="0.25">
      <c r="A7433"/>
    </row>
    <row r="7434" spans="1:1" ht="15" customHeight="1" x14ac:dyDescent="0.25">
      <c r="A7434"/>
    </row>
    <row r="7435" spans="1:1" ht="15" customHeight="1" x14ac:dyDescent="0.25">
      <c r="A7435"/>
    </row>
    <row r="7436" spans="1:1" ht="15" customHeight="1" x14ac:dyDescent="0.25">
      <c r="A7436"/>
    </row>
    <row r="7437" spans="1:1" ht="15" customHeight="1" x14ac:dyDescent="0.25">
      <c r="A7437"/>
    </row>
    <row r="7438" spans="1:1" ht="15" customHeight="1" x14ac:dyDescent="0.25">
      <c r="A7438"/>
    </row>
    <row r="7439" spans="1:1" ht="15" customHeight="1" x14ac:dyDescent="0.25">
      <c r="A7439"/>
    </row>
    <row r="7440" spans="1:1" ht="15" customHeight="1" x14ac:dyDescent="0.25">
      <c r="A7440"/>
    </row>
    <row r="7441" spans="1:1" ht="15" customHeight="1" x14ac:dyDescent="0.25">
      <c r="A7441"/>
    </row>
    <row r="7442" spans="1:1" ht="15" customHeight="1" x14ac:dyDescent="0.25">
      <c r="A7442"/>
    </row>
    <row r="7443" spans="1:1" ht="15" customHeight="1" x14ac:dyDescent="0.25">
      <c r="A7443"/>
    </row>
    <row r="7444" spans="1:1" ht="15" customHeight="1" x14ac:dyDescent="0.25">
      <c r="A7444"/>
    </row>
    <row r="7445" spans="1:1" ht="15" customHeight="1" x14ac:dyDescent="0.25">
      <c r="A7445"/>
    </row>
    <row r="7446" spans="1:1" ht="15" customHeight="1" x14ac:dyDescent="0.25">
      <c r="A7446"/>
    </row>
    <row r="7447" spans="1:1" ht="15" customHeight="1" x14ac:dyDescent="0.25">
      <c r="A7447"/>
    </row>
    <row r="7448" spans="1:1" ht="15" customHeight="1" x14ac:dyDescent="0.25">
      <c r="A7448"/>
    </row>
    <row r="7449" spans="1:1" ht="15" customHeight="1" x14ac:dyDescent="0.25">
      <c r="A7449"/>
    </row>
    <row r="7450" spans="1:1" ht="15" customHeight="1" x14ac:dyDescent="0.25">
      <c r="A7450"/>
    </row>
    <row r="7451" spans="1:1" ht="15" customHeight="1" x14ac:dyDescent="0.25">
      <c r="A7451"/>
    </row>
    <row r="7452" spans="1:1" ht="15" customHeight="1" x14ac:dyDescent="0.25">
      <c r="A7452"/>
    </row>
    <row r="7453" spans="1:1" ht="15" customHeight="1" x14ac:dyDescent="0.25">
      <c r="A7453"/>
    </row>
    <row r="7454" spans="1:1" ht="15" customHeight="1" x14ac:dyDescent="0.25">
      <c r="A7454"/>
    </row>
    <row r="7455" spans="1:1" ht="15" customHeight="1" x14ac:dyDescent="0.25">
      <c r="A7455"/>
    </row>
    <row r="7456" spans="1:1" ht="15" customHeight="1" x14ac:dyDescent="0.25">
      <c r="A7456"/>
    </row>
    <row r="7457" spans="1:1" ht="15" customHeight="1" x14ac:dyDescent="0.25">
      <c r="A7457"/>
    </row>
    <row r="7458" spans="1:1" ht="15" customHeight="1" x14ac:dyDescent="0.25">
      <c r="A7458"/>
    </row>
    <row r="7459" spans="1:1" ht="15" customHeight="1" x14ac:dyDescent="0.25">
      <c r="A7459"/>
    </row>
    <row r="7460" spans="1:1" ht="15" customHeight="1" x14ac:dyDescent="0.25">
      <c r="A7460"/>
    </row>
    <row r="7461" spans="1:1" ht="15" customHeight="1" x14ac:dyDescent="0.25">
      <c r="A7461"/>
    </row>
    <row r="7462" spans="1:1" ht="15" customHeight="1" x14ac:dyDescent="0.25">
      <c r="A7462"/>
    </row>
    <row r="7463" spans="1:1" ht="15" customHeight="1" x14ac:dyDescent="0.25">
      <c r="A7463"/>
    </row>
    <row r="7464" spans="1:1" ht="15" customHeight="1" x14ac:dyDescent="0.25">
      <c r="A7464"/>
    </row>
    <row r="7465" spans="1:1" ht="15" customHeight="1" x14ac:dyDescent="0.25">
      <c r="A7465"/>
    </row>
    <row r="7466" spans="1:1" ht="15" customHeight="1" x14ac:dyDescent="0.25">
      <c r="A7466"/>
    </row>
    <row r="7467" spans="1:1" ht="15" customHeight="1" x14ac:dyDescent="0.25">
      <c r="A7467"/>
    </row>
    <row r="7468" spans="1:1" ht="15" customHeight="1" x14ac:dyDescent="0.25">
      <c r="A7468"/>
    </row>
    <row r="7469" spans="1:1" ht="15" customHeight="1" x14ac:dyDescent="0.25">
      <c r="A7469"/>
    </row>
    <row r="7470" spans="1:1" ht="15" customHeight="1" x14ac:dyDescent="0.25">
      <c r="A7470"/>
    </row>
    <row r="7471" spans="1:1" ht="15" customHeight="1" x14ac:dyDescent="0.25">
      <c r="A7471"/>
    </row>
    <row r="7472" spans="1:1" ht="15" customHeight="1" x14ac:dyDescent="0.25">
      <c r="A7472"/>
    </row>
    <row r="7473" spans="1:1" ht="15" customHeight="1" x14ac:dyDescent="0.25">
      <c r="A7473"/>
    </row>
    <row r="7474" spans="1:1" ht="15" customHeight="1" x14ac:dyDescent="0.25">
      <c r="A7474"/>
    </row>
    <row r="7475" spans="1:1" ht="15" customHeight="1" x14ac:dyDescent="0.25">
      <c r="A7475"/>
    </row>
    <row r="7476" spans="1:1" ht="15" customHeight="1" x14ac:dyDescent="0.25">
      <c r="A7476"/>
    </row>
    <row r="7477" spans="1:1" ht="15" customHeight="1" x14ac:dyDescent="0.25">
      <c r="A7477"/>
    </row>
    <row r="7478" spans="1:1" ht="15" customHeight="1" x14ac:dyDescent="0.25">
      <c r="A7478"/>
    </row>
    <row r="7479" spans="1:1" ht="15" customHeight="1" x14ac:dyDescent="0.25">
      <c r="A7479"/>
    </row>
    <row r="7480" spans="1:1" ht="15" customHeight="1" x14ac:dyDescent="0.25">
      <c r="A7480"/>
    </row>
    <row r="7481" spans="1:1" ht="15" customHeight="1" x14ac:dyDescent="0.25">
      <c r="A7481"/>
    </row>
    <row r="7482" spans="1:1" ht="15" customHeight="1" x14ac:dyDescent="0.25">
      <c r="A7482"/>
    </row>
    <row r="7483" spans="1:1" ht="15" customHeight="1" x14ac:dyDescent="0.25">
      <c r="A7483"/>
    </row>
    <row r="7484" spans="1:1" ht="15" customHeight="1" x14ac:dyDescent="0.25">
      <c r="A7484"/>
    </row>
    <row r="7485" spans="1:1" ht="15" customHeight="1" x14ac:dyDescent="0.25">
      <c r="A7485"/>
    </row>
    <row r="7486" spans="1:1" ht="15" customHeight="1" x14ac:dyDescent="0.25">
      <c r="A7486"/>
    </row>
    <row r="7487" spans="1:1" ht="15" customHeight="1" x14ac:dyDescent="0.25">
      <c r="A7487"/>
    </row>
    <row r="7488" spans="1:1" ht="15" customHeight="1" x14ac:dyDescent="0.25">
      <c r="A7488"/>
    </row>
    <row r="7489" spans="1:1" ht="15" customHeight="1" x14ac:dyDescent="0.25">
      <c r="A7489"/>
    </row>
    <row r="7490" spans="1:1" ht="15" customHeight="1" x14ac:dyDescent="0.25">
      <c r="A7490"/>
    </row>
    <row r="7491" spans="1:1" ht="15" customHeight="1" x14ac:dyDescent="0.25">
      <c r="A7491"/>
    </row>
    <row r="7492" spans="1:1" ht="15" customHeight="1" x14ac:dyDescent="0.25">
      <c r="A7492"/>
    </row>
    <row r="7493" spans="1:1" ht="15" customHeight="1" x14ac:dyDescent="0.25">
      <c r="A7493"/>
    </row>
    <row r="7494" spans="1:1" ht="15" customHeight="1" x14ac:dyDescent="0.25">
      <c r="A7494"/>
    </row>
    <row r="7495" spans="1:1" ht="15" customHeight="1" x14ac:dyDescent="0.25">
      <c r="A7495"/>
    </row>
    <row r="7496" spans="1:1" ht="15" customHeight="1" x14ac:dyDescent="0.25">
      <c r="A7496"/>
    </row>
    <row r="7497" spans="1:1" ht="15" customHeight="1" x14ac:dyDescent="0.25">
      <c r="A7497"/>
    </row>
    <row r="7498" spans="1:1" ht="15" customHeight="1" x14ac:dyDescent="0.25">
      <c r="A7498"/>
    </row>
    <row r="7499" spans="1:1" ht="15" customHeight="1" x14ac:dyDescent="0.25">
      <c r="A7499"/>
    </row>
    <row r="7500" spans="1:1" ht="15" customHeight="1" x14ac:dyDescent="0.25">
      <c r="A7500"/>
    </row>
    <row r="7501" spans="1:1" ht="15" customHeight="1" x14ac:dyDescent="0.25">
      <c r="A7501"/>
    </row>
    <row r="7502" spans="1:1" ht="15" customHeight="1" x14ac:dyDescent="0.25">
      <c r="A7502"/>
    </row>
    <row r="7503" spans="1:1" ht="15" customHeight="1" x14ac:dyDescent="0.25">
      <c r="A7503"/>
    </row>
    <row r="7504" spans="1:1" ht="15" customHeight="1" x14ac:dyDescent="0.25">
      <c r="A7504"/>
    </row>
    <row r="7505" spans="1:1" ht="15" customHeight="1" x14ac:dyDescent="0.25">
      <c r="A7505"/>
    </row>
    <row r="7506" spans="1:1" ht="15" customHeight="1" x14ac:dyDescent="0.25">
      <c r="A7506"/>
    </row>
    <row r="7507" spans="1:1" ht="15" customHeight="1" x14ac:dyDescent="0.25">
      <c r="A7507"/>
    </row>
    <row r="7508" spans="1:1" ht="15" customHeight="1" x14ac:dyDescent="0.25">
      <c r="A7508"/>
    </row>
    <row r="7509" spans="1:1" ht="15" customHeight="1" x14ac:dyDescent="0.25">
      <c r="A7509"/>
    </row>
    <row r="7510" spans="1:1" ht="15" customHeight="1" x14ac:dyDescent="0.25">
      <c r="A7510"/>
    </row>
    <row r="7511" spans="1:1" ht="15" customHeight="1" x14ac:dyDescent="0.25">
      <c r="A7511"/>
    </row>
    <row r="7512" spans="1:1" ht="15" customHeight="1" x14ac:dyDescent="0.25">
      <c r="A7512"/>
    </row>
    <row r="7513" spans="1:1" ht="15" customHeight="1" x14ac:dyDescent="0.25">
      <c r="A7513"/>
    </row>
    <row r="7514" spans="1:1" ht="15" customHeight="1" x14ac:dyDescent="0.25">
      <c r="A7514"/>
    </row>
    <row r="7515" spans="1:1" ht="15" customHeight="1" x14ac:dyDescent="0.25">
      <c r="A7515"/>
    </row>
    <row r="7516" spans="1:1" ht="15" customHeight="1" x14ac:dyDescent="0.25">
      <c r="A7516"/>
    </row>
    <row r="7517" spans="1:1" ht="15" customHeight="1" x14ac:dyDescent="0.25">
      <c r="A7517"/>
    </row>
    <row r="7518" spans="1:1" ht="15" customHeight="1" x14ac:dyDescent="0.25">
      <c r="A7518"/>
    </row>
    <row r="7519" spans="1:1" ht="15" customHeight="1" x14ac:dyDescent="0.25">
      <c r="A7519"/>
    </row>
    <row r="7520" spans="1:1" ht="15" customHeight="1" x14ac:dyDescent="0.25">
      <c r="A7520"/>
    </row>
    <row r="7521" spans="1:1" ht="15" customHeight="1" x14ac:dyDescent="0.25">
      <c r="A7521"/>
    </row>
    <row r="7522" spans="1:1" ht="15" customHeight="1" x14ac:dyDescent="0.25">
      <c r="A7522"/>
    </row>
    <row r="7523" spans="1:1" ht="15" customHeight="1" x14ac:dyDescent="0.25">
      <c r="A7523"/>
    </row>
    <row r="7524" spans="1:1" ht="15" customHeight="1" x14ac:dyDescent="0.25">
      <c r="A7524"/>
    </row>
    <row r="7525" spans="1:1" ht="15" customHeight="1" x14ac:dyDescent="0.25">
      <c r="A7525"/>
    </row>
    <row r="7526" spans="1:1" ht="15" customHeight="1" x14ac:dyDescent="0.25">
      <c r="A7526"/>
    </row>
    <row r="7527" spans="1:1" ht="15" customHeight="1" x14ac:dyDescent="0.25">
      <c r="A7527"/>
    </row>
    <row r="7528" spans="1:1" ht="15" customHeight="1" x14ac:dyDescent="0.25">
      <c r="A7528"/>
    </row>
    <row r="7529" spans="1:1" ht="15" customHeight="1" x14ac:dyDescent="0.25">
      <c r="A7529"/>
    </row>
    <row r="7530" spans="1:1" ht="15" customHeight="1" x14ac:dyDescent="0.25">
      <c r="A7530"/>
    </row>
    <row r="7531" spans="1:1" ht="15" customHeight="1" x14ac:dyDescent="0.25">
      <c r="A7531"/>
    </row>
    <row r="7532" spans="1:1" ht="15" customHeight="1" x14ac:dyDescent="0.25">
      <c r="A7532"/>
    </row>
    <row r="7533" spans="1:1" ht="15" customHeight="1" x14ac:dyDescent="0.25">
      <c r="A7533"/>
    </row>
    <row r="7534" spans="1:1" ht="15" customHeight="1" x14ac:dyDescent="0.25">
      <c r="A7534"/>
    </row>
    <row r="7535" spans="1:1" ht="15" customHeight="1" x14ac:dyDescent="0.25">
      <c r="A7535"/>
    </row>
    <row r="7536" spans="1:1" ht="15" customHeight="1" x14ac:dyDescent="0.25">
      <c r="A7536"/>
    </row>
    <row r="7537" spans="1:1" ht="15" customHeight="1" x14ac:dyDescent="0.25">
      <c r="A7537"/>
    </row>
    <row r="7538" spans="1:1" ht="15" customHeight="1" x14ac:dyDescent="0.25">
      <c r="A7538"/>
    </row>
    <row r="7539" spans="1:1" ht="15" customHeight="1" x14ac:dyDescent="0.25">
      <c r="A7539"/>
    </row>
    <row r="7540" spans="1:1" ht="15" customHeight="1" x14ac:dyDescent="0.25">
      <c r="A7540"/>
    </row>
    <row r="7541" spans="1:1" ht="15" customHeight="1" x14ac:dyDescent="0.25">
      <c r="A7541"/>
    </row>
    <row r="7542" spans="1:1" ht="15" customHeight="1" x14ac:dyDescent="0.25">
      <c r="A7542"/>
    </row>
    <row r="7543" spans="1:1" ht="15" customHeight="1" x14ac:dyDescent="0.25">
      <c r="A7543"/>
    </row>
    <row r="7544" spans="1:1" ht="15" customHeight="1" x14ac:dyDescent="0.25">
      <c r="A7544"/>
    </row>
    <row r="7545" spans="1:1" ht="15" customHeight="1" x14ac:dyDescent="0.25">
      <c r="A7545"/>
    </row>
    <row r="7546" spans="1:1" ht="15" customHeight="1" x14ac:dyDescent="0.25">
      <c r="A7546"/>
    </row>
    <row r="7547" spans="1:1" ht="15" customHeight="1" x14ac:dyDescent="0.25">
      <c r="A7547"/>
    </row>
    <row r="7548" spans="1:1" ht="15" customHeight="1" x14ac:dyDescent="0.25">
      <c r="A7548"/>
    </row>
    <row r="7549" spans="1:1" ht="15" customHeight="1" x14ac:dyDescent="0.25">
      <c r="A7549"/>
    </row>
    <row r="7550" spans="1:1" ht="15" customHeight="1" x14ac:dyDescent="0.25">
      <c r="A7550"/>
    </row>
    <row r="7551" spans="1:1" ht="15" customHeight="1" x14ac:dyDescent="0.25">
      <c r="A7551"/>
    </row>
    <row r="7552" spans="1:1" ht="15" customHeight="1" x14ac:dyDescent="0.25">
      <c r="A7552"/>
    </row>
    <row r="7553" spans="1:1" ht="15" customHeight="1" x14ac:dyDescent="0.25">
      <c r="A7553"/>
    </row>
    <row r="7554" spans="1:1" ht="15" customHeight="1" x14ac:dyDescent="0.25">
      <c r="A7554"/>
    </row>
    <row r="7555" spans="1:1" ht="15" customHeight="1" x14ac:dyDescent="0.25">
      <c r="A7555"/>
    </row>
    <row r="7556" spans="1:1" ht="15" customHeight="1" x14ac:dyDescent="0.25">
      <c r="A7556"/>
    </row>
    <row r="7557" spans="1:1" ht="15" customHeight="1" x14ac:dyDescent="0.25">
      <c r="A7557"/>
    </row>
    <row r="7558" spans="1:1" ht="15" customHeight="1" x14ac:dyDescent="0.25">
      <c r="A7558"/>
    </row>
    <row r="7559" spans="1:1" ht="15" customHeight="1" x14ac:dyDescent="0.25">
      <c r="A7559"/>
    </row>
    <row r="7560" spans="1:1" ht="15" customHeight="1" x14ac:dyDescent="0.25">
      <c r="A7560"/>
    </row>
    <row r="7561" spans="1:1" ht="15" customHeight="1" x14ac:dyDescent="0.25">
      <c r="A7561"/>
    </row>
    <row r="7562" spans="1:1" ht="15" customHeight="1" x14ac:dyDescent="0.25">
      <c r="A7562"/>
    </row>
    <row r="7563" spans="1:1" ht="15" customHeight="1" x14ac:dyDescent="0.25">
      <c r="A7563"/>
    </row>
    <row r="7564" spans="1:1" ht="15" customHeight="1" x14ac:dyDescent="0.25">
      <c r="A7564"/>
    </row>
    <row r="7565" spans="1:1" ht="15" customHeight="1" x14ac:dyDescent="0.25">
      <c r="A7565"/>
    </row>
    <row r="7566" spans="1:1" ht="15" customHeight="1" x14ac:dyDescent="0.25">
      <c r="A7566"/>
    </row>
    <row r="7567" spans="1:1" ht="15" customHeight="1" x14ac:dyDescent="0.25">
      <c r="A7567"/>
    </row>
    <row r="7568" spans="1:1" ht="15" customHeight="1" x14ac:dyDescent="0.25">
      <c r="A7568"/>
    </row>
    <row r="7569" spans="1:1" ht="15" customHeight="1" x14ac:dyDescent="0.25">
      <c r="A7569"/>
    </row>
    <row r="7570" spans="1:1" ht="15" customHeight="1" x14ac:dyDescent="0.25">
      <c r="A7570"/>
    </row>
    <row r="7571" spans="1:1" ht="15" customHeight="1" x14ac:dyDescent="0.25">
      <c r="A7571"/>
    </row>
    <row r="7572" spans="1:1" ht="15" customHeight="1" x14ac:dyDescent="0.25">
      <c r="A7572"/>
    </row>
    <row r="7573" spans="1:1" ht="15" customHeight="1" x14ac:dyDescent="0.25">
      <c r="A7573"/>
    </row>
    <row r="7574" spans="1:1" ht="15" customHeight="1" x14ac:dyDescent="0.25">
      <c r="A7574"/>
    </row>
    <row r="7575" spans="1:1" ht="15" customHeight="1" x14ac:dyDescent="0.25">
      <c r="A7575"/>
    </row>
    <row r="7576" spans="1:1" ht="15" customHeight="1" x14ac:dyDescent="0.25">
      <c r="A7576"/>
    </row>
    <row r="7577" spans="1:1" ht="15" customHeight="1" x14ac:dyDescent="0.25">
      <c r="A7577"/>
    </row>
    <row r="7578" spans="1:1" ht="15" customHeight="1" x14ac:dyDescent="0.25">
      <c r="A7578"/>
    </row>
    <row r="7579" spans="1:1" ht="15" customHeight="1" x14ac:dyDescent="0.25">
      <c r="A7579"/>
    </row>
    <row r="7580" spans="1:1" ht="15" customHeight="1" x14ac:dyDescent="0.25">
      <c r="A7580"/>
    </row>
    <row r="7581" spans="1:1" ht="15" customHeight="1" x14ac:dyDescent="0.25">
      <c r="A7581"/>
    </row>
    <row r="7582" spans="1:1" ht="15" customHeight="1" x14ac:dyDescent="0.25">
      <c r="A7582"/>
    </row>
    <row r="7583" spans="1:1" ht="15" customHeight="1" x14ac:dyDescent="0.25">
      <c r="A7583"/>
    </row>
    <row r="7584" spans="1:1" ht="15" customHeight="1" x14ac:dyDescent="0.25">
      <c r="A7584"/>
    </row>
    <row r="7585" spans="1:1" ht="15" customHeight="1" x14ac:dyDescent="0.25">
      <c r="A7585"/>
    </row>
    <row r="7586" spans="1:1" ht="15" customHeight="1" x14ac:dyDescent="0.25">
      <c r="A7586"/>
    </row>
    <row r="7587" spans="1:1" ht="15" customHeight="1" x14ac:dyDescent="0.25">
      <c r="A7587"/>
    </row>
    <row r="7588" spans="1:1" ht="15" customHeight="1" x14ac:dyDescent="0.25">
      <c r="A7588"/>
    </row>
    <row r="7589" spans="1:1" ht="15" customHeight="1" x14ac:dyDescent="0.25">
      <c r="A7589"/>
    </row>
    <row r="7590" spans="1:1" ht="15" customHeight="1" x14ac:dyDescent="0.25">
      <c r="A7590"/>
    </row>
    <row r="7591" spans="1:1" ht="15" customHeight="1" x14ac:dyDescent="0.25">
      <c r="A7591"/>
    </row>
    <row r="7592" spans="1:1" ht="15" customHeight="1" x14ac:dyDescent="0.25">
      <c r="A7592"/>
    </row>
    <row r="7593" spans="1:1" ht="15" customHeight="1" x14ac:dyDescent="0.25">
      <c r="A7593"/>
    </row>
    <row r="7594" spans="1:1" ht="15" customHeight="1" x14ac:dyDescent="0.25">
      <c r="A7594"/>
    </row>
    <row r="7595" spans="1:1" ht="15" customHeight="1" x14ac:dyDescent="0.25">
      <c r="A7595"/>
    </row>
    <row r="7596" spans="1:1" ht="15" customHeight="1" x14ac:dyDescent="0.25">
      <c r="A7596"/>
    </row>
    <row r="7597" spans="1:1" ht="15" customHeight="1" x14ac:dyDescent="0.25">
      <c r="A7597"/>
    </row>
    <row r="7598" spans="1:1" ht="15" customHeight="1" x14ac:dyDescent="0.25">
      <c r="A7598"/>
    </row>
    <row r="7599" spans="1:1" ht="15" customHeight="1" x14ac:dyDescent="0.25">
      <c r="A7599"/>
    </row>
    <row r="7600" spans="1:1" ht="15" customHeight="1" x14ac:dyDescent="0.25">
      <c r="A7600"/>
    </row>
    <row r="7601" spans="1:1" ht="15" customHeight="1" x14ac:dyDescent="0.25">
      <c r="A7601"/>
    </row>
    <row r="7602" spans="1:1" ht="15" customHeight="1" x14ac:dyDescent="0.25">
      <c r="A7602"/>
    </row>
    <row r="7603" spans="1:1" ht="15" customHeight="1" x14ac:dyDescent="0.25">
      <c r="A7603"/>
    </row>
    <row r="7604" spans="1:1" ht="15" customHeight="1" x14ac:dyDescent="0.25">
      <c r="A7604"/>
    </row>
    <row r="7605" spans="1:1" ht="15" customHeight="1" x14ac:dyDescent="0.25">
      <c r="A7605"/>
    </row>
    <row r="7606" spans="1:1" ht="15" customHeight="1" x14ac:dyDescent="0.25">
      <c r="A7606"/>
    </row>
    <row r="7607" spans="1:1" ht="15" customHeight="1" x14ac:dyDescent="0.25">
      <c r="A7607"/>
    </row>
    <row r="7608" spans="1:1" ht="15" customHeight="1" x14ac:dyDescent="0.25">
      <c r="A7608"/>
    </row>
    <row r="7609" spans="1:1" ht="15" customHeight="1" x14ac:dyDescent="0.25">
      <c r="A7609"/>
    </row>
    <row r="7610" spans="1:1" ht="15" customHeight="1" x14ac:dyDescent="0.25">
      <c r="A7610"/>
    </row>
    <row r="7611" spans="1:1" ht="15" customHeight="1" x14ac:dyDescent="0.25">
      <c r="A7611"/>
    </row>
    <row r="7612" spans="1:1" ht="15" customHeight="1" x14ac:dyDescent="0.25">
      <c r="A7612"/>
    </row>
    <row r="7613" spans="1:1" ht="15" customHeight="1" x14ac:dyDescent="0.25">
      <c r="A7613"/>
    </row>
    <row r="7614" spans="1:1" ht="15" customHeight="1" x14ac:dyDescent="0.25">
      <c r="A7614"/>
    </row>
    <row r="7615" spans="1:1" ht="15" customHeight="1" x14ac:dyDescent="0.25">
      <c r="A7615"/>
    </row>
    <row r="7616" spans="1:1" ht="15" customHeight="1" x14ac:dyDescent="0.25">
      <c r="A7616"/>
    </row>
    <row r="7617" spans="1:1" ht="15" customHeight="1" x14ac:dyDescent="0.25">
      <c r="A7617"/>
    </row>
    <row r="7618" spans="1:1" ht="15" customHeight="1" x14ac:dyDescent="0.25">
      <c r="A7618"/>
    </row>
    <row r="7619" spans="1:1" ht="15" customHeight="1" x14ac:dyDescent="0.25">
      <c r="A7619"/>
    </row>
    <row r="7620" spans="1:1" ht="15" customHeight="1" x14ac:dyDescent="0.25">
      <c r="A7620"/>
    </row>
    <row r="7621" spans="1:1" ht="15" customHeight="1" x14ac:dyDescent="0.25">
      <c r="A7621"/>
    </row>
    <row r="7622" spans="1:1" ht="15" customHeight="1" x14ac:dyDescent="0.25">
      <c r="A7622"/>
    </row>
    <row r="7623" spans="1:1" ht="15" customHeight="1" x14ac:dyDescent="0.25">
      <c r="A7623"/>
    </row>
    <row r="7624" spans="1:1" ht="15" customHeight="1" x14ac:dyDescent="0.25">
      <c r="A7624"/>
    </row>
    <row r="7625" spans="1:1" ht="15" customHeight="1" x14ac:dyDescent="0.25">
      <c r="A7625"/>
    </row>
    <row r="7626" spans="1:1" ht="15" customHeight="1" x14ac:dyDescent="0.25">
      <c r="A7626"/>
    </row>
    <row r="7627" spans="1:1" ht="15" customHeight="1" x14ac:dyDescent="0.25">
      <c r="A7627"/>
    </row>
    <row r="7628" spans="1:1" ht="15" customHeight="1" x14ac:dyDescent="0.25">
      <c r="A7628"/>
    </row>
    <row r="7629" spans="1:1" ht="15" customHeight="1" x14ac:dyDescent="0.25">
      <c r="A7629"/>
    </row>
    <row r="7630" spans="1:1" ht="15" customHeight="1" x14ac:dyDescent="0.25">
      <c r="A7630"/>
    </row>
    <row r="7631" spans="1:1" ht="15" customHeight="1" x14ac:dyDescent="0.25">
      <c r="A7631"/>
    </row>
    <row r="7632" spans="1:1" ht="15" customHeight="1" x14ac:dyDescent="0.25">
      <c r="A7632"/>
    </row>
    <row r="7633" spans="1:1" ht="15" customHeight="1" x14ac:dyDescent="0.25">
      <c r="A7633"/>
    </row>
    <row r="7634" spans="1:1" ht="15" customHeight="1" x14ac:dyDescent="0.25">
      <c r="A7634"/>
    </row>
    <row r="7635" spans="1:1" ht="15" customHeight="1" x14ac:dyDescent="0.25">
      <c r="A7635"/>
    </row>
    <row r="7636" spans="1:1" ht="15" customHeight="1" x14ac:dyDescent="0.25">
      <c r="A7636"/>
    </row>
    <row r="7637" spans="1:1" ht="15" customHeight="1" x14ac:dyDescent="0.25">
      <c r="A7637"/>
    </row>
    <row r="7638" spans="1:1" ht="15" customHeight="1" x14ac:dyDescent="0.25">
      <c r="A7638"/>
    </row>
    <row r="7639" spans="1:1" ht="15" customHeight="1" x14ac:dyDescent="0.25">
      <c r="A7639"/>
    </row>
    <row r="7640" spans="1:1" ht="15" customHeight="1" x14ac:dyDescent="0.25">
      <c r="A7640"/>
    </row>
    <row r="7641" spans="1:1" ht="15" customHeight="1" x14ac:dyDescent="0.25">
      <c r="A7641"/>
    </row>
    <row r="7642" spans="1:1" ht="15" customHeight="1" x14ac:dyDescent="0.25">
      <c r="A7642"/>
    </row>
    <row r="7643" spans="1:1" ht="15" customHeight="1" x14ac:dyDescent="0.25">
      <c r="A7643"/>
    </row>
    <row r="7644" spans="1:1" ht="15" customHeight="1" x14ac:dyDescent="0.25">
      <c r="A7644"/>
    </row>
    <row r="7645" spans="1:1" ht="15" customHeight="1" x14ac:dyDescent="0.25">
      <c r="A7645"/>
    </row>
    <row r="7646" spans="1:1" ht="15" customHeight="1" x14ac:dyDescent="0.25">
      <c r="A7646"/>
    </row>
    <row r="7647" spans="1:1" ht="15" customHeight="1" x14ac:dyDescent="0.25">
      <c r="A7647"/>
    </row>
    <row r="7648" spans="1:1" ht="15" customHeight="1" x14ac:dyDescent="0.25">
      <c r="A7648"/>
    </row>
    <row r="7649" spans="1:1" ht="15" customHeight="1" x14ac:dyDescent="0.25">
      <c r="A7649"/>
    </row>
    <row r="7650" spans="1:1" ht="15" customHeight="1" x14ac:dyDescent="0.25">
      <c r="A7650"/>
    </row>
    <row r="7651" spans="1:1" ht="15" customHeight="1" x14ac:dyDescent="0.25">
      <c r="A7651"/>
    </row>
    <row r="7652" spans="1:1" ht="15" customHeight="1" x14ac:dyDescent="0.25">
      <c r="A7652"/>
    </row>
    <row r="7653" spans="1:1" ht="15" customHeight="1" x14ac:dyDescent="0.25">
      <c r="A7653"/>
    </row>
    <row r="7654" spans="1:1" ht="15" customHeight="1" x14ac:dyDescent="0.25">
      <c r="A7654"/>
    </row>
    <row r="7655" spans="1:1" ht="15" customHeight="1" x14ac:dyDescent="0.25">
      <c r="A7655"/>
    </row>
    <row r="7656" spans="1:1" ht="15" customHeight="1" x14ac:dyDescent="0.25">
      <c r="A7656"/>
    </row>
    <row r="7657" spans="1:1" ht="15" customHeight="1" x14ac:dyDescent="0.25">
      <c r="A7657"/>
    </row>
    <row r="7658" spans="1:1" ht="15" customHeight="1" x14ac:dyDescent="0.25">
      <c r="A7658"/>
    </row>
    <row r="7659" spans="1:1" ht="15" customHeight="1" x14ac:dyDescent="0.25">
      <c r="A7659"/>
    </row>
    <row r="7660" spans="1:1" ht="15" customHeight="1" x14ac:dyDescent="0.25">
      <c r="A7660"/>
    </row>
    <row r="7661" spans="1:1" ht="15" customHeight="1" x14ac:dyDescent="0.25">
      <c r="A7661"/>
    </row>
    <row r="7662" spans="1:1" ht="15" customHeight="1" x14ac:dyDescent="0.25">
      <c r="A7662"/>
    </row>
    <row r="7663" spans="1:1" ht="15" customHeight="1" x14ac:dyDescent="0.25">
      <c r="A7663"/>
    </row>
    <row r="7664" spans="1:1" ht="15" customHeight="1" x14ac:dyDescent="0.25">
      <c r="A7664"/>
    </row>
    <row r="7665" spans="1:1" ht="15" customHeight="1" x14ac:dyDescent="0.25">
      <c r="A7665"/>
    </row>
    <row r="7666" spans="1:1" ht="15" customHeight="1" x14ac:dyDescent="0.25">
      <c r="A7666"/>
    </row>
    <row r="7667" spans="1:1" ht="15" customHeight="1" x14ac:dyDescent="0.25">
      <c r="A7667"/>
    </row>
    <row r="7668" spans="1:1" ht="15" customHeight="1" x14ac:dyDescent="0.25">
      <c r="A7668"/>
    </row>
    <row r="7669" spans="1:1" ht="15" customHeight="1" x14ac:dyDescent="0.25">
      <c r="A7669"/>
    </row>
    <row r="7670" spans="1:1" ht="15" customHeight="1" x14ac:dyDescent="0.25">
      <c r="A7670"/>
    </row>
    <row r="7671" spans="1:1" ht="15" customHeight="1" x14ac:dyDescent="0.25">
      <c r="A7671"/>
    </row>
    <row r="7672" spans="1:1" ht="15" customHeight="1" x14ac:dyDescent="0.25">
      <c r="A7672"/>
    </row>
    <row r="7673" spans="1:1" ht="15" customHeight="1" x14ac:dyDescent="0.25">
      <c r="A7673"/>
    </row>
    <row r="7674" spans="1:1" ht="15" customHeight="1" x14ac:dyDescent="0.25">
      <c r="A7674"/>
    </row>
    <row r="7675" spans="1:1" ht="15" customHeight="1" x14ac:dyDescent="0.25">
      <c r="A7675"/>
    </row>
    <row r="7676" spans="1:1" ht="15" customHeight="1" x14ac:dyDescent="0.25">
      <c r="A7676"/>
    </row>
    <row r="7677" spans="1:1" ht="15" customHeight="1" x14ac:dyDescent="0.25">
      <c r="A7677"/>
    </row>
    <row r="7678" spans="1:1" ht="15" customHeight="1" x14ac:dyDescent="0.25">
      <c r="A7678"/>
    </row>
    <row r="7679" spans="1:1" ht="15" customHeight="1" x14ac:dyDescent="0.25">
      <c r="A7679"/>
    </row>
    <row r="7680" spans="1:1" ht="15" customHeight="1" x14ac:dyDescent="0.25">
      <c r="A7680"/>
    </row>
    <row r="7681" spans="1:1" ht="15" customHeight="1" x14ac:dyDescent="0.25">
      <c r="A7681"/>
    </row>
    <row r="7682" spans="1:1" ht="15" customHeight="1" x14ac:dyDescent="0.25">
      <c r="A7682"/>
    </row>
    <row r="7683" spans="1:1" ht="15" customHeight="1" x14ac:dyDescent="0.25">
      <c r="A7683"/>
    </row>
    <row r="7684" spans="1:1" ht="15" customHeight="1" x14ac:dyDescent="0.25">
      <c r="A7684"/>
    </row>
    <row r="7685" spans="1:1" ht="15" customHeight="1" x14ac:dyDescent="0.25">
      <c r="A7685"/>
    </row>
    <row r="7686" spans="1:1" ht="15" customHeight="1" x14ac:dyDescent="0.25">
      <c r="A7686"/>
    </row>
    <row r="7687" spans="1:1" ht="15" customHeight="1" x14ac:dyDescent="0.25">
      <c r="A7687"/>
    </row>
    <row r="7688" spans="1:1" ht="15" customHeight="1" x14ac:dyDescent="0.25">
      <c r="A7688"/>
    </row>
    <row r="7689" spans="1:1" ht="15" customHeight="1" x14ac:dyDescent="0.25">
      <c r="A7689"/>
    </row>
    <row r="7690" spans="1:1" ht="15" customHeight="1" x14ac:dyDescent="0.25">
      <c r="A7690"/>
    </row>
    <row r="7691" spans="1:1" ht="15" customHeight="1" x14ac:dyDescent="0.25">
      <c r="A7691"/>
    </row>
    <row r="7692" spans="1:1" ht="15" customHeight="1" x14ac:dyDescent="0.25">
      <c r="A7692"/>
    </row>
    <row r="7693" spans="1:1" ht="15" customHeight="1" x14ac:dyDescent="0.25">
      <c r="A7693"/>
    </row>
    <row r="7694" spans="1:1" ht="15" customHeight="1" x14ac:dyDescent="0.25">
      <c r="A7694"/>
    </row>
    <row r="7695" spans="1:1" ht="15" customHeight="1" x14ac:dyDescent="0.25">
      <c r="A7695"/>
    </row>
    <row r="7696" spans="1:1" ht="15" customHeight="1" x14ac:dyDescent="0.25">
      <c r="A7696"/>
    </row>
    <row r="7697" spans="1:1" ht="15" customHeight="1" x14ac:dyDescent="0.25">
      <c r="A7697"/>
    </row>
    <row r="7698" spans="1:1" ht="15" customHeight="1" x14ac:dyDescent="0.25">
      <c r="A7698"/>
    </row>
    <row r="7699" spans="1:1" ht="15" customHeight="1" x14ac:dyDescent="0.25">
      <c r="A7699"/>
    </row>
    <row r="7700" spans="1:1" ht="15" customHeight="1" x14ac:dyDescent="0.25">
      <c r="A7700"/>
    </row>
    <row r="7701" spans="1:1" ht="15" customHeight="1" x14ac:dyDescent="0.25">
      <c r="A7701"/>
    </row>
    <row r="7702" spans="1:1" ht="15" customHeight="1" x14ac:dyDescent="0.25">
      <c r="A7702"/>
    </row>
    <row r="7703" spans="1:1" ht="15" customHeight="1" x14ac:dyDescent="0.25">
      <c r="A7703"/>
    </row>
    <row r="7704" spans="1:1" ht="15" customHeight="1" x14ac:dyDescent="0.25">
      <c r="A7704"/>
    </row>
    <row r="7705" spans="1:1" ht="15" customHeight="1" x14ac:dyDescent="0.25">
      <c r="A7705"/>
    </row>
    <row r="7706" spans="1:1" ht="15" customHeight="1" x14ac:dyDescent="0.25">
      <c r="A7706"/>
    </row>
    <row r="7707" spans="1:1" ht="15" customHeight="1" x14ac:dyDescent="0.25">
      <c r="A7707"/>
    </row>
    <row r="7708" spans="1:1" ht="15" customHeight="1" x14ac:dyDescent="0.25">
      <c r="A7708"/>
    </row>
    <row r="7709" spans="1:1" ht="15" customHeight="1" x14ac:dyDescent="0.25">
      <c r="A7709"/>
    </row>
    <row r="7710" spans="1:1" ht="15" customHeight="1" x14ac:dyDescent="0.25">
      <c r="A7710"/>
    </row>
    <row r="7711" spans="1:1" ht="15" customHeight="1" x14ac:dyDescent="0.25">
      <c r="A7711"/>
    </row>
    <row r="7712" spans="1:1" ht="15" customHeight="1" x14ac:dyDescent="0.25">
      <c r="A7712"/>
    </row>
    <row r="7713" spans="1:1" ht="15" customHeight="1" x14ac:dyDescent="0.25">
      <c r="A7713"/>
    </row>
    <row r="7714" spans="1:1" ht="15" customHeight="1" x14ac:dyDescent="0.25">
      <c r="A7714"/>
    </row>
    <row r="7715" spans="1:1" ht="15" customHeight="1" x14ac:dyDescent="0.25">
      <c r="A7715"/>
    </row>
    <row r="7716" spans="1:1" ht="15" customHeight="1" x14ac:dyDescent="0.25">
      <c r="A7716"/>
    </row>
    <row r="7717" spans="1:1" ht="15" customHeight="1" x14ac:dyDescent="0.25">
      <c r="A7717"/>
    </row>
    <row r="7718" spans="1:1" ht="15" customHeight="1" x14ac:dyDescent="0.25">
      <c r="A7718"/>
    </row>
    <row r="7719" spans="1:1" ht="15" customHeight="1" x14ac:dyDescent="0.25">
      <c r="A7719"/>
    </row>
    <row r="7720" spans="1:1" ht="15" customHeight="1" x14ac:dyDescent="0.25">
      <c r="A7720"/>
    </row>
    <row r="7721" spans="1:1" ht="15" customHeight="1" x14ac:dyDescent="0.25">
      <c r="A7721"/>
    </row>
    <row r="7722" spans="1:1" ht="15" customHeight="1" x14ac:dyDescent="0.25">
      <c r="A7722"/>
    </row>
    <row r="7723" spans="1:1" ht="15" customHeight="1" x14ac:dyDescent="0.25">
      <c r="A7723"/>
    </row>
    <row r="7724" spans="1:1" ht="15" customHeight="1" x14ac:dyDescent="0.25">
      <c r="A7724"/>
    </row>
    <row r="7725" spans="1:1" ht="15" customHeight="1" x14ac:dyDescent="0.25">
      <c r="A7725"/>
    </row>
    <row r="7726" spans="1:1" ht="15" customHeight="1" x14ac:dyDescent="0.25">
      <c r="A7726"/>
    </row>
    <row r="7727" spans="1:1" ht="15" customHeight="1" x14ac:dyDescent="0.25">
      <c r="A7727"/>
    </row>
    <row r="7728" spans="1:1" ht="15" customHeight="1" x14ac:dyDescent="0.25">
      <c r="A7728"/>
    </row>
    <row r="7729" spans="1:1" ht="15" customHeight="1" x14ac:dyDescent="0.25">
      <c r="A7729"/>
    </row>
    <row r="7730" spans="1:1" ht="15" customHeight="1" x14ac:dyDescent="0.25">
      <c r="A7730"/>
    </row>
    <row r="7731" spans="1:1" ht="15" customHeight="1" x14ac:dyDescent="0.25">
      <c r="A7731"/>
    </row>
    <row r="7732" spans="1:1" ht="15" customHeight="1" x14ac:dyDescent="0.25">
      <c r="A7732"/>
    </row>
    <row r="7733" spans="1:1" ht="15" customHeight="1" x14ac:dyDescent="0.25">
      <c r="A7733"/>
    </row>
    <row r="7734" spans="1:1" ht="15" customHeight="1" x14ac:dyDescent="0.25">
      <c r="A7734"/>
    </row>
    <row r="7735" spans="1:1" ht="15" customHeight="1" x14ac:dyDescent="0.25">
      <c r="A7735"/>
    </row>
    <row r="7736" spans="1:1" ht="15" customHeight="1" x14ac:dyDescent="0.25">
      <c r="A7736"/>
    </row>
    <row r="7737" spans="1:1" ht="15" customHeight="1" x14ac:dyDescent="0.25">
      <c r="A7737"/>
    </row>
    <row r="7738" spans="1:1" ht="15" customHeight="1" x14ac:dyDescent="0.25">
      <c r="A7738"/>
    </row>
    <row r="7739" spans="1:1" ht="15" customHeight="1" x14ac:dyDescent="0.25">
      <c r="A7739"/>
    </row>
    <row r="7740" spans="1:1" ht="15" customHeight="1" x14ac:dyDescent="0.25">
      <c r="A7740"/>
    </row>
    <row r="7741" spans="1:1" ht="15" customHeight="1" x14ac:dyDescent="0.25">
      <c r="A7741"/>
    </row>
    <row r="7742" spans="1:1" ht="15" customHeight="1" x14ac:dyDescent="0.25">
      <c r="A7742"/>
    </row>
    <row r="7743" spans="1:1" ht="15" customHeight="1" x14ac:dyDescent="0.25">
      <c r="A7743"/>
    </row>
    <row r="7744" spans="1:1" ht="15" customHeight="1" x14ac:dyDescent="0.25">
      <c r="A7744"/>
    </row>
    <row r="7745" spans="1:1" ht="15" customHeight="1" x14ac:dyDescent="0.25">
      <c r="A7745"/>
    </row>
    <row r="7746" spans="1:1" ht="15" customHeight="1" x14ac:dyDescent="0.25">
      <c r="A7746"/>
    </row>
    <row r="7747" spans="1:1" ht="15" customHeight="1" x14ac:dyDescent="0.25">
      <c r="A7747"/>
    </row>
    <row r="7748" spans="1:1" ht="15" customHeight="1" x14ac:dyDescent="0.25">
      <c r="A7748"/>
    </row>
    <row r="7749" spans="1:1" ht="15" customHeight="1" x14ac:dyDescent="0.25">
      <c r="A7749"/>
    </row>
    <row r="7750" spans="1:1" ht="15" customHeight="1" x14ac:dyDescent="0.25">
      <c r="A7750"/>
    </row>
    <row r="7751" spans="1:1" ht="15" customHeight="1" x14ac:dyDescent="0.25">
      <c r="A7751"/>
    </row>
    <row r="7752" spans="1:1" ht="15" customHeight="1" x14ac:dyDescent="0.25">
      <c r="A7752"/>
    </row>
    <row r="7753" spans="1:1" ht="15" customHeight="1" x14ac:dyDescent="0.25">
      <c r="A7753"/>
    </row>
    <row r="7754" spans="1:1" ht="15" customHeight="1" x14ac:dyDescent="0.25">
      <c r="A7754"/>
    </row>
    <row r="7755" spans="1:1" ht="15" customHeight="1" x14ac:dyDescent="0.25">
      <c r="A7755"/>
    </row>
    <row r="7756" spans="1:1" ht="15" customHeight="1" x14ac:dyDescent="0.25">
      <c r="A7756"/>
    </row>
    <row r="7757" spans="1:1" ht="15" customHeight="1" x14ac:dyDescent="0.25">
      <c r="A7757"/>
    </row>
    <row r="7758" spans="1:1" ht="15" customHeight="1" x14ac:dyDescent="0.25">
      <c r="A7758"/>
    </row>
    <row r="7759" spans="1:1" ht="15" customHeight="1" x14ac:dyDescent="0.25">
      <c r="A7759"/>
    </row>
    <row r="7760" spans="1:1" ht="15" customHeight="1" x14ac:dyDescent="0.25">
      <c r="A7760"/>
    </row>
    <row r="7761" spans="1:1" ht="15" customHeight="1" x14ac:dyDescent="0.25">
      <c r="A7761"/>
    </row>
    <row r="7762" spans="1:1" ht="15" customHeight="1" x14ac:dyDescent="0.25">
      <c r="A7762"/>
    </row>
    <row r="7763" spans="1:1" ht="15" customHeight="1" x14ac:dyDescent="0.25">
      <c r="A7763"/>
    </row>
    <row r="7764" spans="1:1" ht="15" customHeight="1" x14ac:dyDescent="0.25">
      <c r="A7764"/>
    </row>
    <row r="7765" spans="1:1" ht="15" customHeight="1" x14ac:dyDescent="0.25">
      <c r="A7765"/>
    </row>
    <row r="7766" spans="1:1" ht="15" customHeight="1" x14ac:dyDescent="0.25">
      <c r="A7766"/>
    </row>
    <row r="7767" spans="1:1" ht="15" customHeight="1" x14ac:dyDescent="0.25">
      <c r="A7767"/>
    </row>
    <row r="7768" spans="1:1" ht="15" customHeight="1" x14ac:dyDescent="0.25">
      <c r="A7768"/>
    </row>
    <row r="7769" spans="1:1" ht="15" customHeight="1" x14ac:dyDescent="0.25">
      <c r="A7769"/>
    </row>
    <row r="7770" spans="1:1" ht="15" customHeight="1" x14ac:dyDescent="0.25">
      <c r="A7770"/>
    </row>
    <row r="7771" spans="1:1" ht="15" customHeight="1" x14ac:dyDescent="0.25">
      <c r="A7771"/>
    </row>
    <row r="7772" spans="1:1" ht="15" customHeight="1" x14ac:dyDescent="0.25">
      <c r="A7772"/>
    </row>
    <row r="7773" spans="1:1" ht="15" customHeight="1" x14ac:dyDescent="0.25">
      <c r="A7773"/>
    </row>
    <row r="7774" spans="1:1" ht="15" customHeight="1" x14ac:dyDescent="0.25">
      <c r="A7774"/>
    </row>
    <row r="7775" spans="1:1" ht="15" customHeight="1" x14ac:dyDescent="0.25">
      <c r="A7775"/>
    </row>
    <row r="7776" spans="1:1" ht="15" customHeight="1" x14ac:dyDescent="0.25">
      <c r="A7776"/>
    </row>
    <row r="7777" spans="1:1" ht="15" customHeight="1" x14ac:dyDescent="0.25">
      <c r="A7777"/>
    </row>
    <row r="7778" spans="1:1" ht="15" customHeight="1" x14ac:dyDescent="0.25">
      <c r="A7778"/>
    </row>
    <row r="7779" spans="1:1" ht="15" customHeight="1" x14ac:dyDescent="0.25">
      <c r="A7779"/>
    </row>
    <row r="7780" spans="1:1" ht="15" customHeight="1" x14ac:dyDescent="0.25">
      <c r="A7780"/>
    </row>
    <row r="7781" spans="1:1" ht="15" customHeight="1" x14ac:dyDescent="0.25">
      <c r="A7781"/>
    </row>
    <row r="7782" spans="1:1" ht="15" customHeight="1" x14ac:dyDescent="0.25">
      <c r="A7782"/>
    </row>
    <row r="7783" spans="1:1" ht="15" customHeight="1" x14ac:dyDescent="0.25">
      <c r="A7783"/>
    </row>
    <row r="7784" spans="1:1" ht="15" customHeight="1" x14ac:dyDescent="0.25">
      <c r="A7784"/>
    </row>
    <row r="7785" spans="1:1" ht="15" customHeight="1" x14ac:dyDescent="0.25">
      <c r="A7785"/>
    </row>
    <row r="7786" spans="1:1" ht="15" customHeight="1" x14ac:dyDescent="0.25">
      <c r="A7786"/>
    </row>
    <row r="7787" spans="1:1" ht="15" customHeight="1" x14ac:dyDescent="0.25">
      <c r="A7787"/>
    </row>
    <row r="7788" spans="1:1" ht="15" customHeight="1" x14ac:dyDescent="0.25">
      <c r="A7788"/>
    </row>
    <row r="7789" spans="1:1" ht="15" customHeight="1" x14ac:dyDescent="0.25">
      <c r="A7789"/>
    </row>
    <row r="7790" spans="1:1" ht="15" customHeight="1" x14ac:dyDescent="0.25">
      <c r="A7790"/>
    </row>
    <row r="7791" spans="1:1" ht="15" customHeight="1" x14ac:dyDescent="0.25">
      <c r="A7791"/>
    </row>
    <row r="7792" spans="1:1" ht="15" customHeight="1" x14ac:dyDescent="0.25">
      <c r="A7792"/>
    </row>
    <row r="7793" spans="1:1" ht="15" customHeight="1" x14ac:dyDescent="0.25">
      <c r="A7793"/>
    </row>
    <row r="7794" spans="1:1" ht="15" customHeight="1" x14ac:dyDescent="0.25">
      <c r="A7794"/>
    </row>
    <row r="7795" spans="1:1" ht="15" customHeight="1" x14ac:dyDescent="0.25">
      <c r="A7795"/>
    </row>
    <row r="7796" spans="1:1" ht="15" customHeight="1" x14ac:dyDescent="0.25">
      <c r="A7796"/>
    </row>
    <row r="7797" spans="1:1" ht="15" customHeight="1" x14ac:dyDescent="0.25">
      <c r="A7797"/>
    </row>
    <row r="7798" spans="1:1" ht="15" customHeight="1" x14ac:dyDescent="0.25">
      <c r="A7798"/>
    </row>
    <row r="7799" spans="1:1" ht="15" customHeight="1" x14ac:dyDescent="0.25">
      <c r="A779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45897-0943-4F56-9BDF-43D68B14C9A4}">
  <sheetPr codeName="Sheet2"/>
  <dimension ref="A1:H888"/>
  <sheetViews>
    <sheetView workbookViewId="0">
      <selection activeCell="C2" sqref="C2"/>
    </sheetView>
  </sheetViews>
  <sheetFormatPr defaultRowHeight="15" x14ac:dyDescent="0.25"/>
  <cols>
    <col min="1" max="1" width="12.42578125" bestFit="1" customWidth="1"/>
    <col min="2" max="2" width="18.5703125" bestFit="1" customWidth="1"/>
    <col min="3" max="3" width="22.42578125" bestFit="1" customWidth="1"/>
    <col min="4" max="4" width="51.85546875" bestFit="1" customWidth="1"/>
    <col min="5" max="5" width="54.7109375" bestFit="1" customWidth="1"/>
    <col min="6" max="6" width="15.28515625" bestFit="1" customWidth="1"/>
    <col min="7" max="7" width="0" hidden="1" customWidth="1"/>
  </cols>
  <sheetData>
    <row r="1" spans="1:8" x14ac:dyDescent="0.25">
      <c r="B1" t="s">
        <v>1841</v>
      </c>
      <c r="C1" t="s">
        <v>1842</v>
      </c>
      <c r="D1" t="s">
        <v>1843</v>
      </c>
      <c r="E1" t="s">
        <v>1844</v>
      </c>
      <c r="F1" t="s">
        <v>1845</v>
      </c>
      <c r="G1" t="s">
        <v>1846</v>
      </c>
    </row>
    <row r="2" spans="1:8" x14ac:dyDescent="0.25">
      <c r="A2" t="str">
        <f>CLEAN(F2)</f>
        <v>282N00000X</v>
      </c>
      <c r="B2" t="str">
        <f t="shared" ref="B2:B19" si="0">"01"</f>
        <v>01</v>
      </c>
      <c r="C2" t="str">
        <f>"200"</f>
        <v>200</v>
      </c>
      <c r="D2" t="s">
        <v>1847</v>
      </c>
      <c r="E2" t="s">
        <v>1848</v>
      </c>
      <c r="F2" t="s">
        <v>1503</v>
      </c>
      <c r="G2" t="s">
        <v>1849</v>
      </c>
      <c r="H2" t="str" cm="1">
        <f t="array" ref="H2">_xlfn.TEXTJOIN(", ", TRUE, IF($A$2:$A$4=D1, $B$2:$B$4, ""))</f>
        <v/>
      </c>
    </row>
    <row r="3" spans="1:8" x14ac:dyDescent="0.25">
      <c r="A3" t="str">
        <f t="shared" ref="A3:A66" si="1">CLEAN(F3)</f>
        <v>282NW0100X</v>
      </c>
      <c r="B3" t="str">
        <f t="shared" si="0"/>
        <v>01</v>
      </c>
      <c r="C3" t="str">
        <f>"200"</f>
        <v>200</v>
      </c>
      <c r="D3" t="s">
        <v>1847</v>
      </c>
      <c r="E3" t="s">
        <v>1848</v>
      </c>
      <c r="F3" t="s">
        <v>1511</v>
      </c>
      <c r="G3" t="s">
        <v>1850</v>
      </c>
    </row>
    <row r="4" spans="1:8" x14ac:dyDescent="0.25">
      <c r="A4" t="str">
        <f t="shared" si="1"/>
        <v>284300000X</v>
      </c>
      <c r="B4" t="str">
        <f t="shared" si="0"/>
        <v>01</v>
      </c>
      <c r="C4" t="str">
        <f>"200"</f>
        <v>200</v>
      </c>
      <c r="D4" t="s">
        <v>1847</v>
      </c>
      <c r="E4" t="s">
        <v>1848</v>
      </c>
      <c r="F4" t="s">
        <v>1519</v>
      </c>
      <c r="G4" t="s">
        <v>1851</v>
      </c>
    </row>
    <row r="5" spans="1:8" x14ac:dyDescent="0.25">
      <c r="A5" t="str">
        <f t="shared" si="1"/>
        <v>282N00000X</v>
      </c>
      <c r="B5" t="str">
        <f t="shared" si="0"/>
        <v>01</v>
      </c>
      <c r="C5" t="str">
        <f>"201"</f>
        <v>201</v>
      </c>
      <c r="D5" t="s">
        <v>1847</v>
      </c>
      <c r="E5" t="s">
        <v>1852</v>
      </c>
      <c r="F5" t="s">
        <v>1503</v>
      </c>
      <c r="G5" t="s">
        <v>1849</v>
      </c>
    </row>
    <row r="6" spans="1:8" x14ac:dyDescent="0.25">
      <c r="A6" t="str">
        <f t="shared" si="1"/>
        <v>284300000X</v>
      </c>
      <c r="B6" t="str">
        <f t="shared" si="0"/>
        <v>01</v>
      </c>
      <c r="C6" t="str">
        <f>"201"</f>
        <v>201</v>
      </c>
      <c r="D6" t="s">
        <v>1847</v>
      </c>
      <c r="E6" t="s">
        <v>1852</v>
      </c>
      <c r="F6" t="s">
        <v>1519</v>
      </c>
      <c r="G6" t="s">
        <v>1851</v>
      </c>
    </row>
    <row r="7" spans="1:8" x14ac:dyDescent="0.25">
      <c r="A7" t="str">
        <f t="shared" si="1"/>
        <v>284300000X</v>
      </c>
      <c r="B7" t="str">
        <f t="shared" si="0"/>
        <v>01</v>
      </c>
      <c r="C7" t="str">
        <f>"210"</f>
        <v>210</v>
      </c>
      <c r="D7" t="s">
        <v>1847</v>
      </c>
      <c r="E7" t="s">
        <v>1853</v>
      </c>
      <c r="F7" t="s">
        <v>1519</v>
      </c>
      <c r="G7" t="s">
        <v>1851</v>
      </c>
    </row>
    <row r="8" spans="1:8" x14ac:dyDescent="0.25">
      <c r="A8" t="str">
        <f t="shared" si="1"/>
        <v>284300000X</v>
      </c>
      <c r="B8" t="str">
        <f t="shared" si="0"/>
        <v>01</v>
      </c>
      <c r="C8" t="str">
        <f>"211"</f>
        <v>211</v>
      </c>
      <c r="D8" t="s">
        <v>1847</v>
      </c>
      <c r="E8" t="s">
        <v>1854</v>
      </c>
      <c r="F8" t="s">
        <v>1519</v>
      </c>
      <c r="G8" t="s">
        <v>1851</v>
      </c>
    </row>
    <row r="9" spans="1:8" x14ac:dyDescent="0.25">
      <c r="A9" t="str">
        <f t="shared" si="1"/>
        <v>261QC0050X</v>
      </c>
      <c r="B9" t="str">
        <f t="shared" si="0"/>
        <v>01</v>
      </c>
      <c r="C9" t="str">
        <f t="shared" ref="C9:C19" si="2">"901"</f>
        <v>901</v>
      </c>
      <c r="D9" t="s">
        <v>1847</v>
      </c>
      <c r="E9" t="s">
        <v>1847</v>
      </c>
      <c r="F9" t="s">
        <v>1375</v>
      </c>
      <c r="G9" t="s">
        <v>1855</v>
      </c>
    </row>
    <row r="10" spans="1:8" x14ac:dyDescent="0.25">
      <c r="A10" t="str">
        <f t="shared" si="1"/>
        <v>273100000X</v>
      </c>
      <c r="B10" t="str">
        <f t="shared" si="0"/>
        <v>01</v>
      </c>
      <c r="C10" t="str">
        <f t="shared" si="2"/>
        <v>901</v>
      </c>
      <c r="D10" t="s">
        <v>1847</v>
      </c>
      <c r="E10" t="s">
        <v>1847</v>
      </c>
      <c r="F10" t="s">
        <v>1485</v>
      </c>
      <c r="G10" t="s">
        <v>1856</v>
      </c>
    </row>
    <row r="11" spans="1:8" x14ac:dyDescent="0.25">
      <c r="A11" t="str">
        <f t="shared" si="1"/>
        <v>273R00000X</v>
      </c>
      <c r="B11" t="str">
        <f t="shared" si="0"/>
        <v>01</v>
      </c>
      <c r="C11" t="str">
        <f t="shared" si="2"/>
        <v>901</v>
      </c>
      <c r="D11" t="s">
        <v>1847</v>
      </c>
      <c r="E11" t="s">
        <v>1847</v>
      </c>
      <c r="F11" t="s">
        <v>1487</v>
      </c>
      <c r="G11" t="s">
        <v>1857</v>
      </c>
    </row>
    <row r="12" spans="1:8" x14ac:dyDescent="0.25">
      <c r="A12" t="str">
        <f t="shared" si="1"/>
        <v>273Y00000X</v>
      </c>
      <c r="B12" t="str">
        <f t="shared" si="0"/>
        <v>01</v>
      </c>
      <c r="C12" t="str">
        <f t="shared" si="2"/>
        <v>901</v>
      </c>
      <c r="D12" t="s">
        <v>1847</v>
      </c>
      <c r="E12" t="s">
        <v>1847</v>
      </c>
      <c r="F12" t="s">
        <v>1489</v>
      </c>
      <c r="G12" t="s">
        <v>1858</v>
      </c>
    </row>
    <row r="13" spans="1:8" x14ac:dyDescent="0.25">
      <c r="A13" t="str">
        <f t="shared" si="1"/>
        <v>276400000X</v>
      </c>
      <c r="B13" t="str">
        <f t="shared" si="0"/>
        <v>01</v>
      </c>
      <c r="C13" t="str">
        <f t="shared" si="2"/>
        <v>901</v>
      </c>
      <c r="D13" t="s">
        <v>1847</v>
      </c>
      <c r="E13" t="s">
        <v>1847</v>
      </c>
      <c r="F13" t="s">
        <v>1493</v>
      </c>
      <c r="G13" t="s">
        <v>1859</v>
      </c>
    </row>
    <row r="14" spans="1:8" x14ac:dyDescent="0.25">
      <c r="A14" t="str">
        <f t="shared" si="1"/>
        <v>282N00000X</v>
      </c>
      <c r="B14" t="str">
        <f t="shared" si="0"/>
        <v>01</v>
      </c>
      <c r="C14" t="str">
        <f t="shared" si="2"/>
        <v>901</v>
      </c>
      <c r="D14" t="s">
        <v>1847</v>
      </c>
      <c r="E14" t="s">
        <v>1847</v>
      </c>
      <c r="F14" t="s">
        <v>1503</v>
      </c>
      <c r="G14" t="s">
        <v>1849</v>
      </c>
    </row>
    <row r="15" spans="1:8" x14ac:dyDescent="0.25">
      <c r="A15" t="str">
        <f t="shared" si="1"/>
        <v>282NC0060X</v>
      </c>
      <c r="B15" t="str">
        <f t="shared" si="0"/>
        <v>01</v>
      </c>
      <c r="C15" t="str">
        <f t="shared" si="2"/>
        <v>901</v>
      </c>
      <c r="D15" t="s">
        <v>1847</v>
      </c>
      <c r="E15" t="s">
        <v>1847</v>
      </c>
      <c r="F15" t="s">
        <v>1505</v>
      </c>
      <c r="G15" t="s">
        <v>1860</v>
      </c>
    </row>
    <row r="16" spans="1:8" x14ac:dyDescent="0.25">
      <c r="A16" t="str">
        <f t="shared" si="1"/>
        <v>282NC2000X</v>
      </c>
      <c r="B16" t="str">
        <f t="shared" si="0"/>
        <v>01</v>
      </c>
      <c r="C16" t="str">
        <f t="shared" si="2"/>
        <v>901</v>
      </c>
      <c r="D16" t="s">
        <v>1847</v>
      </c>
      <c r="E16" t="s">
        <v>1847</v>
      </c>
      <c r="F16" t="s">
        <v>1507</v>
      </c>
      <c r="G16" t="s">
        <v>1861</v>
      </c>
    </row>
    <row r="17" spans="1:7" x14ac:dyDescent="0.25">
      <c r="A17" t="str">
        <f t="shared" si="1"/>
        <v>282NR1301X</v>
      </c>
      <c r="B17" t="str">
        <f t="shared" si="0"/>
        <v>01</v>
      </c>
      <c r="C17" t="str">
        <f t="shared" si="2"/>
        <v>901</v>
      </c>
      <c r="D17" t="s">
        <v>1847</v>
      </c>
      <c r="E17" t="s">
        <v>1847</v>
      </c>
      <c r="F17" t="s">
        <v>1509</v>
      </c>
      <c r="G17" t="s">
        <v>1862</v>
      </c>
    </row>
    <row r="18" spans="1:7" x14ac:dyDescent="0.25">
      <c r="A18" t="str">
        <f t="shared" si="1"/>
        <v>282NW0100X</v>
      </c>
      <c r="B18" t="str">
        <f t="shared" si="0"/>
        <v>01</v>
      </c>
      <c r="C18" t="str">
        <f t="shared" si="2"/>
        <v>901</v>
      </c>
      <c r="D18" t="s">
        <v>1847</v>
      </c>
      <c r="E18" t="s">
        <v>1847</v>
      </c>
      <c r="F18" t="s">
        <v>1511</v>
      </c>
      <c r="G18" t="s">
        <v>1850</v>
      </c>
    </row>
    <row r="19" spans="1:7" x14ac:dyDescent="0.25">
      <c r="A19" t="str">
        <f t="shared" si="1"/>
        <v>284300000X</v>
      </c>
      <c r="B19" t="str">
        <f t="shared" si="0"/>
        <v>01</v>
      </c>
      <c r="C19" t="str">
        <f t="shared" si="2"/>
        <v>901</v>
      </c>
      <c r="D19" t="s">
        <v>1847</v>
      </c>
      <c r="E19" t="s">
        <v>1847</v>
      </c>
      <c r="F19" t="s">
        <v>1519</v>
      </c>
      <c r="G19" t="s">
        <v>1851</v>
      </c>
    </row>
    <row r="20" spans="1:7" x14ac:dyDescent="0.25">
      <c r="A20" t="str">
        <f t="shared" si="1"/>
        <v>283Q00000X</v>
      </c>
      <c r="B20" t="str">
        <f>"04"</f>
        <v>04</v>
      </c>
      <c r="C20" t="str">
        <f>"904"</f>
        <v>904</v>
      </c>
      <c r="D20" t="s">
        <v>1863</v>
      </c>
      <c r="E20" t="s">
        <v>1863</v>
      </c>
      <c r="F20" t="s">
        <v>1513</v>
      </c>
      <c r="G20" t="s">
        <v>1864</v>
      </c>
    </row>
    <row r="21" spans="1:7" x14ac:dyDescent="0.25">
      <c r="A21" t="str">
        <f t="shared" si="1"/>
        <v>251S00000X</v>
      </c>
      <c r="B21" t="str">
        <f>"05"</f>
        <v>05</v>
      </c>
      <c r="C21" t="str">
        <f>"905"</f>
        <v>905</v>
      </c>
      <c r="D21" t="s">
        <v>1865</v>
      </c>
      <c r="E21" t="s">
        <v>1866</v>
      </c>
      <c r="F21" t="s">
        <v>1345</v>
      </c>
      <c r="G21" t="s">
        <v>1867</v>
      </c>
    </row>
    <row r="22" spans="1:7" x14ac:dyDescent="0.25">
      <c r="A22" t="str">
        <f t="shared" si="1"/>
        <v>261QC1500X</v>
      </c>
      <c r="B22" t="str">
        <f>"05"</f>
        <v>05</v>
      </c>
      <c r="C22" t="str">
        <f>"905"</f>
        <v>905</v>
      </c>
      <c r="D22" t="s">
        <v>1865</v>
      </c>
      <c r="E22" t="s">
        <v>1866</v>
      </c>
      <c r="F22" t="s">
        <v>1377</v>
      </c>
      <c r="G22" t="s">
        <v>1868</v>
      </c>
    </row>
    <row r="23" spans="1:7" x14ac:dyDescent="0.25">
      <c r="A23" t="str">
        <f t="shared" si="1"/>
        <v>261QM0801X</v>
      </c>
      <c r="B23" t="str">
        <f>"05"</f>
        <v>05</v>
      </c>
      <c r="C23" t="str">
        <f>"905"</f>
        <v>905</v>
      </c>
      <c r="D23" t="s">
        <v>1865</v>
      </c>
      <c r="E23" t="s">
        <v>1866</v>
      </c>
      <c r="F23" t="s">
        <v>1405</v>
      </c>
      <c r="G23" t="s">
        <v>1869</v>
      </c>
    </row>
    <row r="24" spans="1:7" x14ac:dyDescent="0.25">
      <c r="A24" t="str">
        <f t="shared" si="1"/>
        <v>261QM0850X</v>
      </c>
      <c r="B24" t="str">
        <f>"05"</f>
        <v>05</v>
      </c>
      <c r="C24" t="str">
        <f>"905"</f>
        <v>905</v>
      </c>
      <c r="D24" t="s">
        <v>1865</v>
      </c>
      <c r="E24" t="s">
        <v>1866</v>
      </c>
      <c r="F24" t="s">
        <v>1407</v>
      </c>
      <c r="G24" t="s">
        <v>1870</v>
      </c>
    </row>
    <row r="25" spans="1:7" x14ac:dyDescent="0.25">
      <c r="A25" t="str">
        <f t="shared" si="1"/>
        <v>261QM0855X</v>
      </c>
      <c r="B25" t="str">
        <f>"05"</f>
        <v>05</v>
      </c>
      <c r="C25" t="str">
        <f>"905"</f>
        <v>905</v>
      </c>
      <c r="D25" t="s">
        <v>1865</v>
      </c>
      <c r="E25" t="s">
        <v>1866</v>
      </c>
      <c r="F25" t="s">
        <v>1409</v>
      </c>
      <c r="G25" t="s">
        <v>1871</v>
      </c>
    </row>
    <row r="26" spans="1:7" x14ac:dyDescent="0.25">
      <c r="A26" t="str">
        <f t="shared" si="1"/>
        <v>261Q00000X</v>
      </c>
      <c r="B26" t="str">
        <f t="shared" ref="B26:B34" si="3">"06"</f>
        <v>06</v>
      </c>
      <c r="C26" t="str">
        <f t="shared" ref="C26:C34" si="4">"906"</f>
        <v>906</v>
      </c>
      <c r="D26" t="s">
        <v>1872</v>
      </c>
      <c r="E26" t="s">
        <v>1873</v>
      </c>
      <c r="F26" t="s">
        <v>1359</v>
      </c>
      <c r="G26" t="s">
        <v>1874</v>
      </c>
    </row>
    <row r="27" spans="1:7" x14ac:dyDescent="0.25">
      <c r="A27" t="str">
        <f t="shared" si="1"/>
        <v>261QA0005X</v>
      </c>
      <c r="B27" t="str">
        <f t="shared" si="3"/>
        <v>06</v>
      </c>
      <c r="C27" t="str">
        <f t="shared" si="4"/>
        <v>906</v>
      </c>
      <c r="D27" t="s">
        <v>1872</v>
      </c>
      <c r="E27" t="s">
        <v>1873</v>
      </c>
      <c r="F27" t="s">
        <v>1361</v>
      </c>
      <c r="G27" t="s">
        <v>1875</v>
      </c>
    </row>
    <row r="28" spans="1:7" x14ac:dyDescent="0.25">
      <c r="A28" t="str">
        <f t="shared" si="1"/>
        <v>261QA0006X</v>
      </c>
      <c r="B28" t="str">
        <f t="shared" si="3"/>
        <v>06</v>
      </c>
      <c r="C28" t="str">
        <f t="shared" si="4"/>
        <v>906</v>
      </c>
      <c r="D28" t="s">
        <v>1872</v>
      </c>
      <c r="E28" t="s">
        <v>1873</v>
      </c>
      <c r="F28" t="s">
        <v>1363</v>
      </c>
      <c r="G28" t="s">
        <v>1876</v>
      </c>
    </row>
    <row r="29" spans="1:7" x14ac:dyDescent="0.25">
      <c r="A29" t="str">
        <f t="shared" si="1"/>
        <v>261QA1903X</v>
      </c>
      <c r="B29" t="str">
        <f t="shared" si="3"/>
        <v>06</v>
      </c>
      <c r="C29" t="str">
        <f t="shared" si="4"/>
        <v>906</v>
      </c>
      <c r="D29" t="s">
        <v>1872</v>
      </c>
      <c r="E29" t="s">
        <v>1873</v>
      </c>
      <c r="F29" t="s">
        <v>1369</v>
      </c>
      <c r="G29" t="s">
        <v>1877</v>
      </c>
    </row>
    <row r="30" spans="1:7" x14ac:dyDescent="0.25">
      <c r="A30" t="str">
        <f t="shared" si="1"/>
        <v>261QD0000X</v>
      </c>
      <c r="B30" t="str">
        <f t="shared" si="3"/>
        <v>06</v>
      </c>
      <c r="C30" t="str">
        <f t="shared" si="4"/>
        <v>906</v>
      </c>
      <c r="D30" t="s">
        <v>1872</v>
      </c>
      <c r="E30" t="s">
        <v>1873</v>
      </c>
      <c r="F30" t="s">
        <v>1381</v>
      </c>
      <c r="G30" t="s">
        <v>1878</v>
      </c>
    </row>
    <row r="31" spans="1:7" x14ac:dyDescent="0.25">
      <c r="A31" t="str">
        <f t="shared" si="1"/>
        <v>261QE0800X</v>
      </c>
      <c r="B31" t="str">
        <f t="shared" si="3"/>
        <v>06</v>
      </c>
      <c r="C31" t="str">
        <f t="shared" si="4"/>
        <v>906</v>
      </c>
      <c r="D31" t="s">
        <v>1872</v>
      </c>
      <c r="E31" t="s">
        <v>1873</v>
      </c>
      <c r="F31" t="s">
        <v>1389</v>
      </c>
      <c r="G31" t="s">
        <v>1879</v>
      </c>
    </row>
    <row r="32" spans="1:7" x14ac:dyDescent="0.25">
      <c r="A32" t="str">
        <f t="shared" si="1"/>
        <v>261QF0050X</v>
      </c>
      <c r="B32" t="str">
        <f t="shared" si="3"/>
        <v>06</v>
      </c>
      <c r="C32" t="str">
        <f t="shared" si="4"/>
        <v>906</v>
      </c>
      <c r="D32" t="s">
        <v>1872</v>
      </c>
      <c r="E32" t="s">
        <v>1873</v>
      </c>
      <c r="F32" t="s">
        <v>1391</v>
      </c>
      <c r="G32" t="s">
        <v>1880</v>
      </c>
    </row>
    <row r="33" spans="1:7" x14ac:dyDescent="0.25">
      <c r="A33" t="str">
        <f t="shared" si="1"/>
        <v>261QG0250X</v>
      </c>
      <c r="B33" t="str">
        <f t="shared" si="3"/>
        <v>06</v>
      </c>
      <c r="C33" t="str">
        <f t="shared" si="4"/>
        <v>906</v>
      </c>
      <c r="D33" t="s">
        <v>1872</v>
      </c>
      <c r="E33" t="s">
        <v>1873</v>
      </c>
      <c r="F33" t="s">
        <v>1395</v>
      </c>
      <c r="G33" t="s">
        <v>1881</v>
      </c>
    </row>
    <row r="34" spans="1:7" x14ac:dyDescent="0.25">
      <c r="A34" t="str">
        <f t="shared" si="1"/>
        <v>261QL0400X</v>
      </c>
      <c r="B34" t="str">
        <f t="shared" si="3"/>
        <v>06</v>
      </c>
      <c r="C34" t="str">
        <f t="shared" si="4"/>
        <v>906</v>
      </c>
      <c r="D34" t="s">
        <v>1872</v>
      </c>
      <c r="E34" t="s">
        <v>1873</v>
      </c>
      <c r="F34" t="s">
        <v>1403</v>
      </c>
      <c r="G34" t="s">
        <v>1882</v>
      </c>
    </row>
    <row r="35" spans="1:7" x14ac:dyDescent="0.25">
      <c r="A35" t="str">
        <f t="shared" si="1"/>
        <v>101YM0800X</v>
      </c>
      <c r="B35" t="str">
        <f>"07"</f>
        <v>07</v>
      </c>
      <c r="C35" t="str">
        <f>"066"</f>
        <v>066</v>
      </c>
      <c r="D35" t="s">
        <v>1883</v>
      </c>
      <c r="E35" t="s">
        <v>1884</v>
      </c>
      <c r="F35" t="s">
        <v>125</v>
      </c>
      <c r="G35" t="s">
        <v>1885</v>
      </c>
    </row>
    <row r="36" spans="1:7" x14ac:dyDescent="0.25">
      <c r="A36" t="str">
        <f t="shared" si="1"/>
        <v>103T00000X</v>
      </c>
      <c r="B36" t="str">
        <f>"07"</f>
        <v>07</v>
      </c>
      <c r="C36" t="str">
        <f>"066"</f>
        <v>066</v>
      </c>
      <c r="D36" t="s">
        <v>1883</v>
      </c>
      <c r="E36" t="s">
        <v>1884</v>
      </c>
      <c r="F36" t="s">
        <v>144</v>
      </c>
      <c r="G36" t="s">
        <v>1886</v>
      </c>
    </row>
    <row r="37" spans="1:7" x14ac:dyDescent="0.25">
      <c r="A37" t="str">
        <f t="shared" si="1"/>
        <v>253J00000X</v>
      </c>
      <c r="B37" t="str">
        <f>"07"</f>
        <v>07</v>
      </c>
      <c r="C37" t="str">
        <f>"067"</f>
        <v>067</v>
      </c>
      <c r="D37" t="s">
        <v>1883</v>
      </c>
      <c r="E37" t="s">
        <v>1887</v>
      </c>
      <c r="F37" t="s">
        <v>1355</v>
      </c>
      <c r="G37" t="s">
        <v>1888</v>
      </c>
    </row>
    <row r="38" spans="1:7" x14ac:dyDescent="0.25">
      <c r="A38" t="str">
        <f t="shared" si="1"/>
        <v>101YM0800X</v>
      </c>
      <c r="B38" t="str">
        <f>"07"</f>
        <v>07</v>
      </c>
      <c r="C38" t="str">
        <f>"907"</f>
        <v>907</v>
      </c>
      <c r="D38" t="s">
        <v>1883</v>
      </c>
      <c r="E38" t="s">
        <v>1883</v>
      </c>
      <c r="F38" t="s">
        <v>125</v>
      </c>
      <c r="G38" t="s">
        <v>1885</v>
      </c>
    </row>
    <row r="39" spans="1:7" x14ac:dyDescent="0.25">
      <c r="A39" t="str">
        <f t="shared" si="1"/>
        <v>103T00000X</v>
      </c>
      <c r="B39" t="str">
        <f>"07"</f>
        <v>07</v>
      </c>
      <c r="C39" t="str">
        <f>"907"</f>
        <v>907</v>
      </c>
      <c r="D39" t="s">
        <v>1883</v>
      </c>
      <c r="E39" t="s">
        <v>1883</v>
      </c>
      <c r="F39" t="s">
        <v>144</v>
      </c>
      <c r="G39" t="s">
        <v>1886</v>
      </c>
    </row>
    <row r="40" spans="1:7" x14ac:dyDescent="0.25">
      <c r="A40" t="str">
        <f t="shared" si="1"/>
        <v>251300000X</v>
      </c>
      <c r="B40" t="str">
        <f>"08"</f>
        <v>08</v>
      </c>
      <c r="C40" t="str">
        <f>"908"</f>
        <v>908</v>
      </c>
      <c r="D40" t="s">
        <v>1889</v>
      </c>
      <c r="E40" t="s">
        <v>1889</v>
      </c>
      <c r="F40" t="s">
        <v>1329</v>
      </c>
      <c r="G40" t="s">
        <v>1890</v>
      </c>
    </row>
    <row r="41" spans="1:7" x14ac:dyDescent="0.25">
      <c r="A41" t="str">
        <f t="shared" si="1"/>
        <v>313M00000X</v>
      </c>
      <c r="B41" t="str">
        <f>"09"</f>
        <v>09</v>
      </c>
      <c r="C41" t="str">
        <f>"909"</f>
        <v>909</v>
      </c>
      <c r="D41" t="s">
        <v>1891</v>
      </c>
      <c r="E41" t="s">
        <v>1891</v>
      </c>
      <c r="F41" t="s">
        <v>1561</v>
      </c>
      <c r="G41" t="s">
        <v>1892</v>
      </c>
    </row>
    <row r="42" spans="1:7" x14ac:dyDescent="0.25">
      <c r="A42" t="str">
        <f t="shared" si="1"/>
        <v>311500000X</v>
      </c>
      <c r="B42" t="str">
        <f>"10"</f>
        <v>10</v>
      </c>
      <c r="C42" t="str">
        <f>"910"</f>
        <v>910</v>
      </c>
      <c r="D42" t="s">
        <v>1893</v>
      </c>
      <c r="E42" t="s">
        <v>1893</v>
      </c>
      <c r="F42" t="s">
        <v>1555</v>
      </c>
      <c r="G42" t="s">
        <v>1894</v>
      </c>
    </row>
    <row r="43" spans="1:7" x14ac:dyDescent="0.25">
      <c r="A43" t="str">
        <f t="shared" si="1"/>
        <v>313M00000X</v>
      </c>
      <c r="B43" t="str">
        <f>"10"</f>
        <v>10</v>
      </c>
      <c r="C43" t="str">
        <f>"910"</f>
        <v>910</v>
      </c>
      <c r="D43" t="s">
        <v>1893</v>
      </c>
      <c r="E43" t="s">
        <v>1893</v>
      </c>
      <c r="F43" t="s">
        <v>1561</v>
      </c>
      <c r="G43" t="s">
        <v>1892</v>
      </c>
    </row>
    <row r="44" spans="1:7" x14ac:dyDescent="0.25">
      <c r="A44" t="str">
        <f t="shared" si="1"/>
        <v>314000000X</v>
      </c>
      <c r="B44" t="str">
        <f>"10"</f>
        <v>10</v>
      </c>
      <c r="C44" t="str">
        <f>"910"</f>
        <v>910</v>
      </c>
      <c r="D44" t="s">
        <v>1893</v>
      </c>
      <c r="E44" t="s">
        <v>1893</v>
      </c>
      <c r="F44" t="s">
        <v>1563</v>
      </c>
      <c r="G44" t="s">
        <v>1893</v>
      </c>
    </row>
    <row r="45" spans="1:7" x14ac:dyDescent="0.25">
      <c r="A45" t="str">
        <f t="shared" si="1"/>
        <v>3140N1450X</v>
      </c>
      <c r="B45" t="str">
        <f>"10"</f>
        <v>10</v>
      </c>
      <c r="C45" t="str">
        <f>"910"</f>
        <v>910</v>
      </c>
      <c r="D45" t="s">
        <v>1893</v>
      </c>
      <c r="E45" t="s">
        <v>1893</v>
      </c>
      <c r="F45" t="s">
        <v>1565</v>
      </c>
      <c r="G45" t="s">
        <v>1895</v>
      </c>
    </row>
    <row r="46" spans="1:7" x14ac:dyDescent="0.25">
      <c r="A46" t="str">
        <f t="shared" si="1"/>
        <v>310500000X</v>
      </c>
      <c r="B46" t="str">
        <f>"11"</f>
        <v>11</v>
      </c>
      <c r="C46" t="str">
        <f>"911"</f>
        <v>911</v>
      </c>
      <c r="D46" t="s">
        <v>1896</v>
      </c>
      <c r="E46" t="s">
        <v>1896</v>
      </c>
      <c r="F46" t="s">
        <v>1553</v>
      </c>
      <c r="G46" t="s">
        <v>1897</v>
      </c>
    </row>
    <row r="47" spans="1:7" x14ac:dyDescent="0.25">
      <c r="A47" t="str">
        <f t="shared" si="1"/>
        <v>315P00000X</v>
      </c>
      <c r="B47" t="str">
        <f>"11"</f>
        <v>11</v>
      </c>
      <c r="C47" t="str">
        <f>"911"</f>
        <v>911</v>
      </c>
      <c r="D47" t="s">
        <v>1896</v>
      </c>
      <c r="E47" t="s">
        <v>1896</v>
      </c>
      <c r="F47" t="s">
        <v>1569</v>
      </c>
      <c r="G47" t="s">
        <v>1898</v>
      </c>
    </row>
    <row r="48" spans="1:7" x14ac:dyDescent="0.25">
      <c r="A48" t="str">
        <f t="shared" si="1"/>
        <v>320600000X</v>
      </c>
      <c r="B48" t="str">
        <f>"11"</f>
        <v>11</v>
      </c>
      <c r="C48" t="str">
        <f>"911"</f>
        <v>911</v>
      </c>
      <c r="D48" t="s">
        <v>1896</v>
      </c>
      <c r="E48" t="s">
        <v>1896</v>
      </c>
      <c r="F48" t="s">
        <v>1573</v>
      </c>
      <c r="G48" t="s">
        <v>1899</v>
      </c>
    </row>
    <row r="49" spans="1:7" x14ac:dyDescent="0.25">
      <c r="A49" t="str">
        <f t="shared" si="1"/>
        <v>320700000X</v>
      </c>
      <c r="B49" t="str">
        <f>"11"</f>
        <v>11</v>
      </c>
      <c r="C49" t="str">
        <f>"911"</f>
        <v>911</v>
      </c>
      <c r="D49" t="s">
        <v>1896</v>
      </c>
      <c r="E49" t="s">
        <v>1896</v>
      </c>
      <c r="F49" t="s">
        <v>1575</v>
      </c>
      <c r="G49" t="s">
        <v>1900</v>
      </c>
    </row>
    <row r="50" spans="1:7" x14ac:dyDescent="0.25">
      <c r="A50" t="str">
        <f t="shared" si="1"/>
        <v>310500000X</v>
      </c>
      <c r="B50" t="str">
        <f>"12"</f>
        <v>12</v>
      </c>
      <c r="C50" t="str">
        <f>"912"</f>
        <v>912</v>
      </c>
      <c r="D50" t="s">
        <v>1901</v>
      </c>
      <c r="E50" t="s">
        <v>1901</v>
      </c>
      <c r="F50" t="s">
        <v>1553</v>
      </c>
      <c r="G50" t="s">
        <v>1897</v>
      </c>
    </row>
    <row r="51" spans="1:7" x14ac:dyDescent="0.25">
      <c r="A51" t="str">
        <f t="shared" si="1"/>
        <v>315P00000X</v>
      </c>
      <c r="B51" t="str">
        <f>"12"</f>
        <v>12</v>
      </c>
      <c r="C51" t="str">
        <f>"912"</f>
        <v>912</v>
      </c>
      <c r="D51" t="s">
        <v>1901</v>
      </c>
      <c r="E51" t="s">
        <v>1901</v>
      </c>
      <c r="F51" t="s">
        <v>1569</v>
      </c>
      <c r="G51" t="s">
        <v>1898</v>
      </c>
    </row>
    <row r="52" spans="1:7" x14ac:dyDescent="0.25">
      <c r="A52" t="str">
        <f t="shared" si="1"/>
        <v>320600000X</v>
      </c>
      <c r="B52" t="str">
        <f>"12"</f>
        <v>12</v>
      </c>
      <c r="C52" t="str">
        <f>"912"</f>
        <v>912</v>
      </c>
      <c r="D52" t="s">
        <v>1901</v>
      </c>
      <c r="E52" t="s">
        <v>1901</v>
      </c>
      <c r="F52" t="s">
        <v>1573</v>
      </c>
      <c r="G52" t="s">
        <v>1899</v>
      </c>
    </row>
    <row r="53" spans="1:7" x14ac:dyDescent="0.25">
      <c r="A53" t="str">
        <f t="shared" si="1"/>
        <v>320700000X</v>
      </c>
      <c r="B53" t="str">
        <f>"12"</f>
        <v>12</v>
      </c>
      <c r="C53" t="str">
        <f>"912"</f>
        <v>912</v>
      </c>
      <c r="D53" t="s">
        <v>1901</v>
      </c>
      <c r="E53" t="s">
        <v>1901</v>
      </c>
      <c r="F53" t="s">
        <v>1575</v>
      </c>
      <c r="G53" t="s">
        <v>1900</v>
      </c>
    </row>
    <row r="54" spans="1:7" x14ac:dyDescent="0.25">
      <c r="A54" t="str">
        <f t="shared" si="1"/>
        <v>275N00000X</v>
      </c>
      <c r="B54" t="str">
        <f>"13"</f>
        <v>13</v>
      </c>
      <c r="C54" t="str">
        <f>"913"</f>
        <v>913</v>
      </c>
      <c r="D54" t="s">
        <v>1902</v>
      </c>
      <c r="E54" t="s">
        <v>1902</v>
      </c>
      <c r="F54" t="s">
        <v>1491</v>
      </c>
      <c r="G54" t="s">
        <v>1903</v>
      </c>
    </row>
    <row r="55" spans="1:7" x14ac:dyDescent="0.25">
      <c r="A55" t="str">
        <f t="shared" si="1"/>
        <v>310400000X</v>
      </c>
      <c r="B55" t="str">
        <f t="shared" ref="B55:B68" si="5">"14"</f>
        <v>14</v>
      </c>
      <c r="C55" t="str">
        <f>"121"</f>
        <v>121</v>
      </c>
      <c r="D55" t="s">
        <v>1904</v>
      </c>
      <c r="E55" t="s">
        <v>1905</v>
      </c>
      <c r="F55" t="s">
        <v>1547</v>
      </c>
      <c r="G55" t="s">
        <v>1906</v>
      </c>
    </row>
    <row r="56" spans="1:7" x14ac:dyDescent="0.25">
      <c r="A56" t="str">
        <f t="shared" si="1"/>
        <v>3104A0630X</v>
      </c>
      <c r="B56" t="str">
        <f t="shared" si="5"/>
        <v>14</v>
      </c>
      <c r="C56" t="str">
        <f>"121"</f>
        <v>121</v>
      </c>
      <c r="D56" t="s">
        <v>1904</v>
      </c>
      <c r="E56" t="s">
        <v>1905</v>
      </c>
      <c r="F56" t="s">
        <v>1551</v>
      </c>
      <c r="G56" t="s">
        <v>1907</v>
      </c>
    </row>
    <row r="57" spans="1:7" x14ac:dyDescent="0.25">
      <c r="A57" t="str">
        <f t="shared" si="1"/>
        <v>311Z00000X</v>
      </c>
      <c r="B57" t="str">
        <f t="shared" si="5"/>
        <v>14</v>
      </c>
      <c r="C57" t="str">
        <f>"121"</f>
        <v>121</v>
      </c>
      <c r="D57" t="s">
        <v>1904</v>
      </c>
      <c r="E57" t="s">
        <v>1905</v>
      </c>
      <c r="F57" t="s">
        <v>1557</v>
      </c>
      <c r="G57" t="s">
        <v>1908</v>
      </c>
    </row>
    <row r="58" spans="1:7" x14ac:dyDescent="0.25">
      <c r="A58" t="str">
        <f t="shared" si="1"/>
        <v>310400000X</v>
      </c>
      <c r="B58" t="str">
        <f t="shared" si="5"/>
        <v>14</v>
      </c>
      <c r="C58" t="str">
        <f>"122"</f>
        <v>122</v>
      </c>
      <c r="D58" t="s">
        <v>1904</v>
      </c>
      <c r="E58" t="s">
        <v>1909</v>
      </c>
      <c r="F58" t="s">
        <v>1547</v>
      </c>
      <c r="G58" t="s">
        <v>1906</v>
      </c>
    </row>
    <row r="59" spans="1:7" x14ac:dyDescent="0.25">
      <c r="A59" t="str">
        <f t="shared" si="1"/>
        <v>311Z00000X</v>
      </c>
      <c r="B59" t="str">
        <f t="shared" si="5"/>
        <v>14</v>
      </c>
      <c r="C59" t="str">
        <f>"122"</f>
        <v>122</v>
      </c>
      <c r="D59" t="s">
        <v>1904</v>
      </c>
      <c r="E59" t="s">
        <v>1909</v>
      </c>
      <c r="F59" t="s">
        <v>1557</v>
      </c>
      <c r="G59" t="s">
        <v>1908</v>
      </c>
    </row>
    <row r="60" spans="1:7" x14ac:dyDescent="0.25">
      <c r="A60" t="str">
        <f t="shared" si="1"/>
        <v>310400000X</v>
      </c>
      <c r="B60" t="str">
        <f t="shared" si="5"/>
        <v>14</v>
      </c>
      <c r="C60" t="str">
        <f>"123"</f>
        <v>123</v>
      </c>
      <c r="D60" t="s">
        <v>1904</v>
      </c>
      <c r="E60" t="s">
        <v>1910</v>
      </c>
      <c r="F60" t="s">
        <v>1547</v>
      </c>
      <c r="G60" t="s">
        <v>1906</v>
      </c>
    </row>
    <row r="61" spans="1:7" x14ac:dyDescent="0.25">
      <c r="A61" t="str">
        <f t="shared" si="1"/>
        <v>311Z00000X</v>
      </c>
      <c r="B61" t="str">
        <f t="shared" si="5"/>
        <v>14</v>
      </c>
      <c r="C61" t="str">
        <f>"123"</f>
        <v>123</v>
      </c>
      <c r="D61" t="s">
        <v>1904</v>
      </c>
      <c r="E61" t="s">
        <v>1910</v>
      </c>
      <c r="F61" t="s">
        <v>1557</v>
      </c>
      <c r="G61" t="s">
        <v>1908</v>
      </c>
    </row>
    <row r="62" spans="1:7" x14ac:dyDescent="0.25">
      <c r="A62" t="str">
        <f t="shared" si="1"/>
        <v>3104A0625X</v>
      </c>
      <c r="B62" t="str">
        <f t="shared" si="5"/>
        <v>14</v>
      </c>
      <c r="C62" t="str">
        <f>"124"</f>
        <v>124</v>
      </c>
      <c r="D62" t="s">
        <v>1904</v>
      </c>
      <c r="E62" t="s">
        <v>1911</v>
      </c>
      <c r="F62" t="s">
        <v>1549</v>
      </c>
      <c r="G62" t="s">
        <v>1912</v>
      </c>
    </row>
    <row r="63" spans="1:7" x14ac:dyDescent="0.25">
      <c r="A63" t="str">
        <f t="shared" si="1"/>
        <v>311Z00000X</v>
      </c>
      <c r="B63" t="str">
        <f t="shared" si="5"/>
        <v>14</v>
      </c>
      <c r="C63" t="str">
        <f>"124"</f>
        <v>124</v>
      </c>
      <c r="D63" t="s">
        <v>1904</v>
      </c>
      <c r="E63" t="s">
        <v>1911</v>
      </c>
      <c r="F63" t="s">
        <v>1557</v>
      </c>
      <c r="G63" t="s">
        <v>1908</v>
      </c>
    </row>
    <row r="64" spans="1:7" x14ac:dyDescent="0.25">
      <c r="A64" t="str">
        <f t="shared" si="1"/>
        <v>311ZA0620X</v>
      </c>
      <c r="B64" t="str">
        <f t="shared" si="5"/>
        <v>14</v>
      </c>
      <c r="C64" t="str">
        <f>"125"</f>
        <v>125</v>
      </c>
      <c r="D64" t="s">
        <v>1904</v>
      </c>
      <c r="E64" t="s">
        <v>1913</v>
      </c>
      <c r="F64" t="s">
        <v>1559</v>
      </c>
      <c r="G64" t="s">
        <v>1914</v>
      </c>
    </row>
    <row r="65" spans="1:7" x14ac:dyDescent="0.25">
      <c r="A65" t="str">
        <f t="shared" si="1"/>
        <v>310400000X</v>
      </c>
      <c r="B65" t="str">
        <f t="shared" si="5"/>
        <v>14</v>
      </c>
      <c r="C65" t="str">
        <f>"126"</f>
        <v>126</v>
      </c>
      <c r="D65" t="s">
        <v>1904</v>
      </c>
      <c r="E65" t="s">
        <v>1915</v>
      </c>
      <c r="F65" t="s">
        <v>1547</v>
      </c>
      <c r="G65" t="s">
        <v>1906</v>
      </c>
    </row>
    <row r="66" spans="1:7" x14ac:dyDescent="0.25">
      <c r="A66" t="str">
        <f t="shared" si="1"/>
        <v>251X00000X</v>
      </c>
      <c r="B66" t="str">
        <f t="shared" si="5"/>
        <v>14</v>
      </c>
      <c r="C66" t="str">
        <f>"914"</f>
        <v>914</v>
      </c>
      <c r="D66" t="s">
        <v>1904</v>
      </c>
      <c r="E66" t="s">
        <v>1904</v>
      </c>
      <c r="F66" t="s">
        <v>1351</v>
      </c>
      <c r="G66" t="s">
        <v>1916</v>
      </c>
    </row>
    <row r="67" spans="1:7" x14ac:dyDescent="0.25">
      <c r="A67" t="str">
        <f t="shared" ref="A67:A130" si="6">CLEAN(F67)</f>
        <v>310400000X</v>
      </c>
      <c r="B67" t="str">
        <f t="shared" si="5"/>
        <v>14</v>
      </c>
      <c r="C67" t="str">
        <f>"914"</f>
        <v>914</v>
      </c>
      <c r="D67" t="s">
        <v>1904</v>
      </c>
      <c r="E67" t="s">
        <v>1904</v>
      </c>
      <c r="F67" t="s">
        <v>1547</v>
      </c>
      <c r="G67" t="s">
        <v>1906</v>
      </c>
    </row>
    <row r="68" spans="1:7" x14ac:dyDescent="0.25">
      <c r="A68" t="str">
        <f t="shared" si="6"/>
        <v>3747A0650X</v>
      </c>
      <c r="B68" t="str">
        <f t="shared" si="5"/>
        <v>14</v>
      </c>
      <c r="C68" t="str">
        <f>"914"</f>
        <v>914</v>
      </c>
      <c r="D68" t="s">
        <v>1904</v>
      </c>
      <c r="E68" t="s">
        <v>1904</v>
      </c>
      <c r="F68" t="s">
        <v>1809</v>
      </c>
      <c r="G68" t="s">
        <v>1917</v>
      </c>
    </row>
    <row r="69" spans="1:7" x14ac:dyDescent="0.25">
      <c r="A69" t="str">
        <f t="shared" si="6"/>
        <v>251G00000X</v>
      </c>
      <c r="B69" t="str">
        <f>"15"</f>
        <v>15</v>
      </c>
      <c r="C69" t="str">
        <f>"915"</f>
        <v>915</v>
      </c>
      <c r="D69" t="s">
        <v>1918</v>
      </c>
      <c r="E69" t="s">
        <v>1918</v>
      </c>
      <c r="F69" t="s">
        <v>1339</v>
      </c>
      <c r="G69" t="s">
        <v>1919</v>
      </c>
    </row>
    <row r="70" spans="1:7" x14ac:dyDescent="0.25">
      <c r="A70" t="str">
        <f t="shared" si="6"/>
        <v>315D00000X</v>
      </c>
      <c r="B70" t="str">
        <f>"15"</f>
        <v>15</v>
      </c>
      <c r="C70" t="str">
        <f>"915"</f>
        <v>915</v>
      </c>
      <c r="D70" t="s">
        <v>1918</v>
      </c>
      <c r="E70" t="s">
        <v>1918</v>
      </c>
      <c r="F70" t="s">
        <v>1567</v>
      </c>
      <c r="G70" t="s">
        <v>1920</v>
      </c>
    </row>
    <row r="71" spans="1:7" x14ac:dyDescent="0.25">
      <c r="A71" t="str">
        <f t="shared" si="6"/>
        <v>283Q00000X</v>
      </c>
      <c r="B71" t="str">
        <f t="shared" ref="B71:B90" si="7">"16"</f>
        <v>16</v>
      </c>
      <c r="C71" t="str">
        <f>"300"</f>
        <v>300</v>
      </c>
      <c r="D71" t="s">
        <v>1921</v>
      </c>
      <c r="E71" t="s">
        <v>1922</v>
      </c>
      <c r="F71" t="s">
        <v>1513</v>
      </c>
      <c r="G71" t="s">
        <v>1864</v>
      </c>
    </row>
    <row r="72" spans="1:7" x14ac:dyDescent="0.25">
      <c r="A72" t="str">
        <f t="shared" si="6"/>
        <v>284300000X</v>
      </c>
      <c r="B72" t="str">
        <f t="shared" si="7"/>
        <v>16</v>
      </c>
      <c r="C72" t="str">
        <f>"300"</f>
        <v>300</v>
      </c>
      <c r="D72" t="s">
        <v>1921</v>
      </c>
      <c r="E72" t="s">
        <v>1922</v>
      </c>
      <c r="F72" t="s">
        <v>1519</v>
      </c>
      <c r="G72" t="s">
        <v>1851</v>
      </c>
    </row>
    <row r="73" spans="1:7" x14ac:dyDescent="0.25">
      <c r="A73" t="str">
        <f t="shared" si="6"/>
        <v>322D00000X</v>
      </c>
      <c r="B73" t="str">
        <f t="shared" si="7"/>
        <v>16</v>
      </c>
      <c r="C73" t="str">
        <f>"300"</f>
        <v>300</v>
      </c>
      <c r="D73" t="s">
        <v>1921</v>
      </c>
      <c r="E73" t="s">
        <v>1922</v>
      </c>
      <c r="F73" t="s">
        <v>1581</v>
      </c>
      <c r="G73" t="s">
        <v>1923</v>
      </c>
    </row>
    <row r="74" spans="1:7" x14ac:dyDescent="0.25">
      <c r="A74" t="str">
        <f t="shared" si="6"/>
        <v>283Q00000X</v>
      </c>
      <c r="B74" t="str">
        <f t="shared" si="7"/>
        <v>16</v>
      </c>
      <c r="C74" t="str">
        <f>"301"</f>
        <v>301</v>
      </c>
      <c r="D74" t="s">
        <v>1921</v>
      </c>
      <c r="E74" t="s">
        <v>1924</v>
      </c>
      <c r="F74" t="s">
        <v>1513</v>
      </c>
      <c r="G74" t="s">
        <v>1864</v>
      </c>
    </row>
    <row r="75" spans="1:7" x14ac:dyDescent="0.25">
      <c r="A75" t="str">
        <f t="shared" si="6"/>
        <v>284300000X</v>
      </c>
      <c r="B75" t="str">
        <f t="shared" si="7"/>
        <v>16</v>
      </c>
      <c r="C75" t="str">
        <f>"301"</f>
        <v>301</v>
      </c>
      <c r="D75" t="s">
        <v>1921</v>
      </c>
      <c r="E75" t="s">
        <v>1924</v>
      </c>
      <c r="F75" t="s">
        <v>1519</v>
      </c>
      <c r="G75" t="s">
        <v>1851</v>
      </c>
    </row>
    <row r="76" spans="1:7" x14ac:dyDescent="0.25">
      <c r="A76" t="str">
        <f t="shared" si="6"/>
        <v>283Q00000X</v>
      </c>
      <c r="B76" t="str">
        <f t="shared" si="7"/>
        <v>16</v>
      </c>
      <c r="C76" t="str">
        <f>"302"</f>
        <v>302</v>
      </c>
      <c r="D76" t="s">
        <v>1921</v>
      </c>
      <c r="E76" t="s">
        <v>1925</v>
      </c>
      <c r="F76" t="s">
        <v>1513</v>
      </c>
      <c r="G76" t="s">
        <v>1864</v>
      </c>
    </row>
    <row r="77" spans="1:7" x14ac:dyDescent="0.25">
      <c r="A77" t="str">
        <f t="shared" si="6"/>
        <v>284300000X</v>
      </c>
      <c r="B77" t="str">
        <f t="shared" si="7"/>
        <v>16</v>
      </c>
      <c r="C77" t="str">
        <f>"302"</f>
        <v>302</v>
      </c>
      <c r="D77" t="s">
        <v>1921</v>
      </c>
      <c r="E77" t="s">
        <v>1925</v>
      </c>
      <c r="F77" t="s">
        <v>1519</v>
      </c>
      <c r="G77" t="s">
        <v>1851</v>
      </c>
    </row>
    <row r="78" spans="1:7" x14ac:dyDescent="0.25">
      <c r="A78" t="str">
        <f t="shared" si="6"/>
        <v>324500000X</v>
      </c>
      <c r="B78" t="str">
        <f t="shared" si="7"/>
        <v>16</v>
      </c>
      <c r="C78" t="str">
        <f>"302"</f>
        <v>302</v>
      </c>
      <c r="D78" t="s">
        <v>1921</v>
      </c>
      <c r="E78" t="s">
        <v>1925</v>
      </c>
      <c r="F78" t="s">
        <v>1585</v>
      </c>
      <c r="G78" t="s">
        <v>1926</v>
      </c>
    </row>
    <row r="79" spans="1:7" x14ac:dyDescent="0.25">
      <c r="A79" t="str">
        <f t="shared" si="6"/>
        <v>283Q00000X</v>
      </c>
      <c r="B79" t="str">
        <f t="shared" si="7"/>
        <v>16</v>
      </c>
      <c r="C79" t="str">
        <f>"303"</f>
        <v>303</v>
      </c>
      <c r="D79" t="s">
        <v>1921</v>
      </c>
      <c r="E79" t="s">
        <v>1927</v>
      </c>
      <c r="F79" t="s">
        <v>1513</v>
      </c>
      <c r="G79" t="s">
        <v>1864</v>
      </c>
    </row>
    <row r="80" spans="1:7" x14ac:dyDescent="0.25">
      <c r="A80" t="str">
        <f t="shared" si="6"/>
        <v>284300000X</v>
      </c>
      <c r="B80" t="str">
        <f t="shared" si="7"/>
        <v>16</v>
      </c>
      <c r="C80" t="str">
        <f>"303"</f>
        <v>303</v>
      </c>
      <c r="D80" t="s">
        <v>1921</v>
      </c>
      <c r="E80" t="s">
        <v>1927</v>
      </c>
      <c r="F80" t="s">
        <v>1519</v>
      </c>
      <c r="G80" t="s">
        <v>1851</v>
      </c>
    </row>
    <row r="81" spans="1:7" x14ac:dyDescent="0.25">
      <c r="A81" t="str">
        <f t="shared" si="6"/>
        <v>323P00000X</v>
      </c>
      <c r="B81" t="str">
        <f t="shared" si="7"/>
        <v>16</v>
      </c>
      <c r="C81" t="str">
        <f>"303"</f>
        <v>303</v>
      </c>
      <c r="D81" t="s">
        <v>1921</v>
      </c>
      <c r="E81" t="s">
        <v>1927</v>
      </c>
      <c r="F81" t="s">
        <v>1583</v>
      </c>
      <c r="G81" t="s">
        <v>1928</v>
      </c>
    </row>
    <row r="82" spans="1:7" x14ac:dyDescent="0.25">
      <c r="A82" t="str">
        <f t="shared" si="6"/>
        <v>3245S0500X</v>
      </c>
      <c r="B82" t="str">
        <f t="shared" si="7"/>
        <v>16</v>
      </c>
      <c r="C82" t="str">
        <f>"303"</f>
        <v>303</v>
      </c>
      <c r="D82" t="s">
        <v>1921</v>
      </c>
      <c r="E82" t="s">
        <v>1927</v>
      </c>
      <c r="F82" t="s">
        <v>1587</v>
      </c>
      <c r="G82" t="s">
        <v>1929</v>
      </c>
    </row>
    <row r="83" spans="1:7" x14ac:dyDescent="0.25">
      <c r="A83" t="str">
        <f t="shared" si="6"/>
        <v>283Q00000X</v>
      </c>
      <c r="B83" t="str">
        <f t="shared" si="7"/>
        <v>16</v>
      </c>
      <c r="C83" t="str">
        <f>"304"</f>
        <v>304</v>
      </c>
      <c r="D83" t="s">
        <v>1921</v>
      </c>
      <c r="E83" t="s">
        <v>1930</v>
      </c>
      <c r="F83" t="s">
        <v>1513</v>
      </c>
      <c r="G83" t="s">
        <v>1864</v>
      </c>
    </row>
    <row r="84" spans="1:7" x14ac:dyDescent="0.25">
      <c r="A84" t="str">
        <f t="shared" si="6"/>
        <v>284300000X</v>
      </c>
      <c r="B84" t="str">
        <f t="shared" si="7"/>
        <v>16</v>
      </c>
      <c r="C84" t="str">
        <f>"304"</f>
        <v>304</v>
      </c>
      <c r="D84" t="s">
        <v>1921</v>
      </c>
      <c r="E84" t="s">
        <v>1930</v>
      </c>
      <c r="F84" t="s">
        <v>1519</v>
      </c>
      <c r="G84" t="s">
        <v>1851</v>
      </c>
    </row>
    <row r="85" spans="1:7" x14ac:dyDescent="0.25">
      <c r="A85" t="str">
        <f t="shared" si="6"/>
        <v>283Q00000X</v>
      </c>
      <c r="B85" t="str">
        <f t="shared" si="7"/>
        <v>16</v>
      </c>
      <c r="C85" t="str">
        <f>"305"</f>
        <v>305</v>
      </c>
      <c r="D85" t="s">
        <v>1921</v>
      </c>
      <c r="E85" t="s">
        <v>1931</v>
      </c>
      <c r="F85" t="s">
        <v>1513</v>
      </c>
      <c r="G85" t="s">
        <v>1864</v>
      </c>
    </row>
    <row r="86" spans="1:7" x14ac:dyDescent="0.25">
      <c r="A86" t="str">
        <f t="shared" si="6"/>
        <v>284300000X</v>
      </c>
      <c r="B86" t="str">
        <f t="shared" si="7"/>
        <v>16</v>
      </c>
      <c r="C86" t="str">
        <f>"305"</f>
        <v>305</v>
      </c>
      <c r="D86" t="s">
        <v>1921</v>
      </c>
      <c r="E86" t="s">
        <v>1931</v>
      </c>
      <c r="F86" t="s">
        <v>1519</v>
      </c>
      <c r="G86" t="s">
        <v>1851</v>
      </c>
    </row>
    <row r="87" spans="1:7" x14ac:dyDescent="0.25">
      <c r="A87" t="str">
        <f t="shared" si="6"/>
        <v>283Q00000X</v>
      </c>
      <c r="B87" t="str">
        <f t="shared" si="7"/>
        <v>16</v>
      </c>
      <c r="C87" t="str">
        <f>"306"</f>
        <v>306</v>
      </c>
      <c r="D87" t="s">
        <v>1921</v>
      </c>
      <c r="E87" t="s">
        <v>1932</v>
      </c>
      <c r="F87" t="s">
        <v>1513</v>
      </c>
      <c r="G87" t="s">
        <v>1864</v>
      </c>
    </row>
    <row r="88" spans="1:7" x14ac:dyDescent="0.25">
      <c r="A88" t="str">
        <f t="shared" si="6"/>
        <v>284300000X</v>
      </c>
      <c r="B88" t="str">
        <f t="shared" si="7"/>
        <v>16</v>
      </c>
      <c r="C88" t="str">
        <f>"306"</f>
        <v>306</v>
      </c>
      <c r="D88" t="s">
        <v>1921</v>
      </c>
      <c r="E88" t="s">
        <v>1932</v>
      </c>
      <c r="F88" t="s">
        <v>1519</v>
      </c>
      <c r="G88" t="s">
        <v>1851</v>
      </c>
    </row>
    <row r="89" spans="1:7" x14ac:dyDescent="0.25">
      <c r="A89" t="str">
        <f t="shared" si="6"/>
        <v>284300000X</v>
      </c>
      <c r="B89" t="str">
        <f t="shared" si="7"/>
        <v>16</v>
      </c>
      <c r="C89" t="str">
        <f>"916"</f>
        <v>916</v>
      </c>
      <c r="D89" t="s">
        <v>1921</v>
      </c>
      <c r="E89" t="s">
        <v>1933</v>
      </c>
      <c r="F89" t="s">
        <v>1519</v>
      </c>
      <c r="G89" t="s">
        <v>1851</v>
      </c>
    </row>
    <row r="90" spans="1:7" x14ac:dyDescent="0.25">
      <c r="A90" t="str">
        <f t="shared" si="6"/>
        <v>323P00000X</v>
      </c>
      <c r="B90" t="str">
        <f t="shared" si="7"/>
        <v>16</v>
      </c>
      <c r="C90" t="str">
        <f>"916"</f>
        <v>916</v>
      </c>
      <c r="D90" t="s">
        <v>1921</v>
      </c>
      <c r="E90" t="s">
        <v>1933</v>
      </c>
      <c r="F90" t="s">
        <v>1583</v>
      </c>
      <c r="G90" t="s">
        <v>1928</v>
      </c>
    </row>
    <row r="91" spans="1:7" x14ac:dyDescent="0.25">
      <c r="A91" t="str">
        <f t="shared" si="6"/>
        <v>333600000X</v>
      </c>
      <c r="B91" t="str">
        <f t="shared" ref="B91:B103" si="8">"20"</f>
        <v>20</v>
      </c>
      <c r="C91" t="str">
        <f>"150"</f>
        <v>150</v>
      </c>
      <c r="D91" t="s">
        <v>1934</v>
      </c>
      <c r="E91" t="s">
        <v>1935</v>
      </c>
      <c r="F91" t="s">
        <v>1621</v>
      </c>
      <c r="G91" t="s">
        <v>1936</v>
      </c>
    </row>
    <row r="92" spans="1:7" x14ac:dyDescent="0.25">
      <c r="A92" t="str">
        <f t="shared" si="6"/>
        <v>3336C0003X</v>
      </c>
      <c r="B92" t="str">
        <f t="shared" si="8"/>
        <v>20</v>
      </c>
      <c r="C92" t="str">
        <f>"150"</f>
        <v>150</v>
      </c>
      <c r="D92" t="s">
        <v>1934</v>
      </c>
      <c r="E92" t="s">
        <v>1935</v>
      </c>
      <c r="F92" t="s">
        <v>1625</v>
      </c>
      <c r="G92" t="s">
        <v>1937</v>
      </c>
    </row>
    <row r="93" spans="1:7" x14ac:dyDescent="0.25">
      <c r="A93" t="str">
        <f t="shared" si="6"/>
        <v>3336C0004X</v>
      </c>
      <c r="B93" t="str">
        <f t="shared" si="8"/>
        <v>20</v>
      </c>
      <c r="C93" t="str">
        <f>"150"</f>
        <v>150</v>
      </c>
      <c r="D93" t="s">
        <v>1934</v>
      </c>
      <c r="E93" t="s">
        <v>1935</v>
      </c>
      <c r="F93" t="s">
        <v>1627</v>
      </c>
      <c r="G93" t="s">
        <v>1938</v>
      </c>
    </row>
    <row r="94" spans="1:7" x14ac:dyDescent="0.25">
      <c r="A94" t="str">
        <f t="shared" si="6"/>
        <v>261QI0500X</v>
      </c>
      <c r="B94" t="str">
        <f t="shared" si="8"/>
        <v>20</v>
      </c>
      <c r="C94" t="str">
        <f>"151"</f>
        <v>151</v>
      </c>
      <c r="D94" t="s">
        <v>1934</v>
      </c>
      <c r="E94" t="s">
        <v>1939</v>
      </c>
      <c r="F94" t="s">
        <v>1401</v>
      </c>
      <c r="G94" t="s">
        <v>1940</v>
      </c>
    </row>
    <row r="95" spans="1:7" x14ac:dyDescent="0.25">
      <c r="A95" t="str">
        <f t="shared" si="6"/>
        <v>3336H0001X</v>
      </c>
      <c r="B95" t="str">
        <f t="shared" si="8"/>
        <v>20</v>
      </c>
      <c r="C95" t="str">
        <f>"151"</f>
        <v>151</v>
      </c>
      <c r="D95" t="s">
        <v>1934</v>
      </c>
      <c r="E95" t="s">
        <v>1939</v>
      </c>
      <c r="F95" t="s">
        <v>1629</v>
      </c>
      <c r="G95" t="s">
        <v>1941</v>
      </c>
    </row>
    <row r="96" spans="1:7" x14ac:dyDescent="0.25">
      <c r="A96" t="str">
        <f t="shared" si="6"/>
        <v>3336L0003X</v>
      </c>
      <c r="B96" t="str">
        <f t="shared" si="8"/>
        <v>20</v>
      </c>
      <c r="C96" t="str">
        <f>"152"</f>
        <v>152</v>
      </c>
      <c r="D96" t="s">
        <v>1934</v>
      </c>
      <c r="E96" t="s">
        <v>1942</v>
      </c>
      <c r="F96" t="s">
        <v>1633</v>
      </c>
      <c r="G96" t="s">
        <v>1943</v>
      </c>
    </row>
    <row r="97" spans="1:7" x14ac:dyDescent="0.25">
      <c r="A97" t="str">
        <f t="shared" si="6"/>
        <v>3336C0002X</v>
      </c>
      <c r="B97" t="str">
        <f t="shared" si="8"/>
        <v>20</v>
      </c>
      <c r="C97" t="str">
        <f>"153"</f>
        <v>153</v>
      </c>
      <c r="D97" t="s">
        <v>1934</v>
      </c>
      <c r="E97" t="s">
        <v>1944</v>
      </c>
      <c r="F97" t="s">
        <v>1623</v>
      </c>
      <c r="G97" t="s">
        <v>1945</v>
      </c>
    </row>
    <row r="98" spans="1:7" x14ac:dyDescent="0.25">
      <c r="A98" t="str">
        <f t="shared" si="6"/>
        <v>3336I0012X</v>
      </c>
      <c r="B98" t="str">
        <f t="shared" si="8"/>
        <v>20</v>
      </c>
      <c r="C98" t="str">
        <f>"153"</f>
        <v>153</v>
      </c>
      <c r="D98" t="s">
        <v>1934</v>
      </c>
      <c r="E98" t="s">
        <v>1944</v>
      </c>
      <c r="F98" t="s">
        <v>1631</v>
      </c>
      <c r="G98" t="s">
        <v>1946</v>
      </c>
    </row>
    <row r="99" spans="1:7" x14ac:dyDescent="0.25">
      <c r="A99" t="str">
        <f t="shared" si="6"/>
        <v>3336C0003X</v>
      </c>
      <c r="B99" t="str">
        <f t="shared" si="8"/>
        <v>20</v>
      </c>
      <c r="C99" t="str">
        <f>"154"</f>
        <v>154</v>
      </c>
      <c r="D99" t="s">
        <v>1934</v>
      </c>
      <c r="E99" t="s">
        <v>1947</v>
      </c>
      <c r="F99" t="s">
        <v>1625</v>
      </c>
      <c r="G99" t="s">
        <v>1937</v>
      </c>
    </row>
    <row r="100" spans="1:7" x14ac:dyDescent="0.25">
      <c r="A100" t="str">
        <f t="shared" si="6"/>
        <v>3336C0003X</v>
      </c>
      <c r="B100" t="str">
        <f t="shared" si="8"/>
        <v>20</v>
      </c>
      <c r="C100" t="str">
        <f>"155"</f>
        <v>155</v>
      </c>
      <c r="D100" t="s">
        <v>1934</v>
      </c>
      <c r="E100" t="s">
        <v>1948</v>
      </c>
      <c r="F100" t="s">
        <v>1625</v>
      </c>
      <c r="G100" t="s">
        <v>1937</v>
      </c>
    </row>
    <row r="101" spans="1:7" x14ac:dyDescent="0.25">
      <c r="A101" t="str">
        <f t="shared" si="6"/>
        <v>332900000X</v>
      </c>
      <c r="B101" t="str">
        <f t="shared" si="8"/>
        <v>20</v>
      </c>
      <c r="C101" t="str">
        <f>"156"</f>
        <v>156</v>
      </c>
      <c r="D101" t="s">
        <v>1934</v>
      </c>
      <c r="E101" t="s">
        <v>1949</v>
      </c>
      <c r="F101" t="s">
        <v>1597</v>
      </c>
      <c r="G101" t="s">
        <v>1950</v>
      </c>
    </row>
    <row r="102" spans="1:7" x14ac:dyDescent="0.25">
      <c r="A102" t="str">
        <f t="shared" si="6"/>
        <v>3336N0007X</v>
      </c>
      <c r="B102" t="str">
        <f t="shared" si="8"/>
        <v>20</v>
      </c>
      <c r="C102" t="str">
        <f>"157"</f>
        <v>157</v>
      </c>
      <c r="D102" t="s">
        <v>1934</v>
      </c>
      <c r="E102" t="s">
        <v>1951</v>
      </c>
      <c r="F102" t="s">
        <v>1639</v>
      </c>
      <c r="G102" t="s">
        <v>1952</v>
      </c>
    </row>
    <row r="103" spans="1:7" x14ac:dyDescent="0.25">
      <c r="A103" t="str">
        <f t="shared" si="6"/>
        <v>3336S0011X</v>
      </c>
      <c r="B103" t="str">
        <f t="shared" si="8"/>
        <v>20</v>
      </c>
      <c r="C103" t="str">
        <f>"158"</f>
        <v>158</v>
      </c>
      <c r="D103" t="s">
        <v>1934</v>
      </c>
      <c r="E103" t="s">
        <v>1953</v>
      </c>
      <c r="F103" t="s">
        <v>1641</v>
      </c>
      <c r="G103" t="s">
        <v>1954</v>
      </c>
    </row>
    <row r="104" spans="1:7" x14ac:dyDescent="0.25">
      <c r="A104" t="str">
        <f t="shared" si="6"/>
        <v>3747P1801X</v>
      </c>
      <c r="B104" t="str">
        <f>"23"</f>
        <v>23</v>
      </c>
      <c r="C104" t="str">
        <f>"923"</f>
        <v>923</v>
      </c>
      <c r="D104" t="s">
        <v>1955</v>
      </c>
      <c r="E104" t="s">
        <v>1955</v>
      </c>
      <c r="F104" t="s">
        <v>1811</v>
      </c>
      <c r="G104" t="s">
        <v>1956</v>
      </c>
    </row>
    <row r="105" spans="1:7" x14ac:dyDescent="0.25">
      <c r="A105" t="str">
        <f t="shared" si="6"/>
        <v>261QM3000X</v>
      </c>
      <c r="B105" t="str">
        <f>"24"</f>
        <v>24</v>
      </c>
      <c r="C105" t="str">
        <f>"924"</f>
        <v>924</v>
      </c>
      <c r="D105" t="s">
        <v>1957</v>
      </c>
      <c r="E105" t="s">
        <v>1957</v>
      </c>
      <c r="F105" t="s">
        <v>1429</v>
      </c>
      <c r="G105" t="s">
        <v>1958</v>
      </c>
    </row>
    <row r="106" spans="1:7" x14ac:dyDescent="0.25">
      <c r="A106" t="str">
        <f t="shared" si="6"/>
        <v>207QA0000X</v>
      </c>
      <c r="B106" t="str">
        <f t="shared" ref="B106:B169" si="9">"25"</f>
        <v>25</v>
      </c>
      <c r="C106" t="str">
        <f>"001"</f>
        <v>001</v>
      </c>
      <c r="D106" t="s">
        <v>1959</v>
      </c>
      <c r="E106" t="s">
        <v>1960</v>
      </c>
      <c r="F106" t="s">
        <v>603</v>
      </c>
      <c r="G106" t="s">
        <v>1961</v>
      </c>
    </row>
    <row r="107" spans="1:7" x14ac:dyDescent="0.25">
      <c r="A107" t="str">
        <f t="shared" si="6"/>
        <v>207RA0000X</v>
      </c>
      <c r="B107" t="str">
        <f t="shared" si="9"/>
        <v>25</v>
      </c>
      <c r="C107" t="str">
        <f>"001"</f>
        <v>001</v>
      </c>
      <c r="D107" t="s">
        <v>1959</v>
      </c>
      <c r="E107" t="s">
        <v>1960</v>
      </c>
      <c r="F107" t="s">
        <v>621</v>
      </c>
      <c r="G107" t="s">
        <v>1962</v>
      </c>
    </row>
    <row r="108" spans="1:7" x14ac:dyDescent="0.25">
      <c r="A108" t="str">
        <f t="shared" si="6"/>
        <v>2080A0000X</v>
      </c>
      <c r="B108" t="str">
        <f t="shared" si="9"/>
        <v>25</v>
      </c>
      <c r="C108" t="str">
        <f>"001"</f>
        <v>001</v>
      </c>
      <c r="D108" t="s">
        <v>1959</v>
      </c>
      <c r="E108" t="s">
        <v>1960</v>
      </c>
      <c r="F108" t="s">
        <v>801</v>
      </c>
      <c r="G108" t="s">
        <v>1963</v>
      </c>
    </row>
    <row r="109" spans="1:7" x14ac:dyDescent="0.25">
      <c r="A109" t="str">
        <f t="shared" si="6"/>
        <v>2084E0001X</v>
      </c>
      <c r="B109" t="str">
        <f t="shared" si="9"/>
        <v>25</v>
      </c>
      <c r="C109" t="str">
        <f>"001"</f>
        <v>001</v>
      </c>
      <c r="D109" t="s">
        <v>1959</v>
      </c>
      <c r="E109" t="s">
        <v>1960</v>
      </c>
      <c r="F109" t="s">
        <v>1964</v>
      </c>
      <c r="G109" t="s">
        <v>1965</v>
      </c>
    </row>
    <row r="110" spans="1:7" x14ac:dyDescent="0.25">
      <c r="A110" t="str">
        <f t="shared" si="6"/>
        <v>207K00000X</v>
      </c>
      <c r="B110" t="str">
        <f t="shared" si="9"/>
        <v>25</v>
      </c>
      <c r="C110" t="str">
        <f>"002"</f>
        <v>002</v>
      </c>
      <c r="D110" t="s">
        <v>1959</v>
      </c>
      <c r="E110" t="s">
        <v>1966</v>
      </c>
      <c r="F110" t="s">
        <v>557</v>
      </c>
      <c r="G110" t="s">
        <v>1967</v>
      </c>
    </row>
    <row r="111" spans="1:7" x14ac:dyDescent="0.25">
      <c r="A111" t="str">
        <f t="shared" si="6"/>
        <v>207KA0200X</v>
      </c>
      <c r="B111" t="str">
        <f t="shared" si="9"/>
        <v>25</v>
      </c>
      <c r="C111" t="str">
        <f>"002"</f>
        <v>002</v>
      </c>
      <c r="D111" t="s">
        <v>1959</v>
      </c>
      <c r="E111" t="s">
        <v>1966</v>
      </c>
      <c r="F111" t="s">
        <v>559</v>
      </c>
      <c r="G111" t="s">
        <v>1968</v>
      </c>
    </row>
    <row r="112" spans="1:7" x14ac:dyDescent="0.25">
      <c r="A112" t="str">
        <f t="shared" si="6"/>
        <v>207L00000X</v>
      </c>
      <c r="B112" t="str">
        <f t="shared" si="9"/>
        <v>25</v>
      </c>
      <c r="C112" t="str">
        <f t="shared" ref="C112:C117" si="10">"003"</f>
        <v>003</v>
      </c>
      <c r="D112" t="s">
        <v>1959</v>
      </c>
      <c r="E112" t="s">
        <v>1969</v>
      </c>
      <c r="F112" t="s">
        <v>563</v>
      </c>
      <c r="G112" t="s">
        <v>1969</v>
      </c>
    </row>
    <row r="113" spans="1:7" x14ac:dyDescent="0.25">
      <c r="A113" t="str">
        <f t="shared" si="6"/>
        <v>207LA0401X</v>
      </c>
      <c r="B113" t="str">
        <f t="shared" si="9"/>
        <v>25</v>
      </c>
      <c r="C113" t="str">
        <f t="shared" si="10"/>
        <v>003</v>
      </c>
      <c r="D113" t="s">
        <v>1959</v>
      </c>
      <c r="E113" t="s">
        <v>1969</v>
      </c>
      <c r="F113" t="s">
        <v>565</v>
      </c>
      <c r="G113" t="s">
        <v>1970</v>
      </c>
    </row>
    <row r="114" spans="1:7" x14ac:dyDescent="0.25">
      <c r="A114" t="str">
        <f t="shared" si="6"/>
        <v>207LC0200X</v>
      </c>
      <c r="B114" t="str">
        <f t="shared" si="9"/>
        <v>25</v>
      </c>
      <c r="C114" t="str">
        <f t="shared" si="10"/>
        <v>003</v>
      </c>
      <c r="D114" t="s">
        <v>1959</v>
      </c>
      <c r="E114" t="s">
        <v>1969</v>
      </c>
      <c r="F114" t="s">
        <v>567</v>
      </c>
      <c r="G114" t="s">
        <v>1971</v>
      </c>
    </row>
    <row r="115" spans="1:7" x14ac:dyDescent="0.25">
      <c r="A115" t="str">
        <f t="shared" si="6"/>
        <v>207LH0002X</v>
      </c>
      <c r="B115" t="str">
        <f t="shared" si="9"/>
        <v>25</v>
      </c>
      <c r="C115" t="str">
        <f t="shared" si="10"/>
        <v>003</v>
      </c>
      <c r="D115" t="s">
        <v>1959</v>
      </c>
      <c r="E115" t="s">
        <v>1969</v>
      </c>
      <c r="F115" t="s">
        <v>569</v>
      </c>
      <c r="G115" t="s">
        <v>1972</v>
      </c>
    </row>
    <row r="116" spans="1:7" x14ac:dyDescent="0.25">
      <c r="A116" t="str">
        <f t="shared" si="6"/>
        <v>207LP2900X</v>
      </c>
      <c r="B116" t="str">
        <f t="shared" si="9"/>
        <v>25</v>
      </c>
      <c r="C116" t="str">
        <f t="shared" si="10"/>
        <v>003</v>
      </c>
      <c r="D116" t="s">
        <v>1959</v>
      </c>
      <c r="E116" t="s">
        <v>1969</v>
      </c>
      <c r="F116" t="s">
        <v>571</v>
      </c>
      <c r="G116" t="s">
        <v>1973</v>
      </c>
    </row>
    <row r="117" spans="1:7" x14ac:dyDescent="0.25">
      <c r="A117" t="str">
        <f t="shared" si="6"/>
        <v>207LP3000X</v>
      </c>
      <c r="B117" t="str">
        <f t="shared" si="9"/>
        <v>25</v>
      </c>
      <c r="C117" t="str">
        <f t="shared" si="10"/>
        <v>003</v>
      </c>
      <c r="D117" t="s">
        <v>1959</v>
      </c>
      <c r="E117" t="s">
        <v>1969</v>
      </c>
      <c r="F117" t="s">
        <v>573</v>
      </c>
      <c r="G117" t="s">
        <v>1974</v>
      </c>
    </row>
    <row r="118" spans="1:7" x14ac:dyDescent="0.25">
      <c r="A118" t="str">
        <f t="shared" si="6"/>
        <v>207RC0000X</v>
      </c>
      <c r="B118" t="str">
        <f t="shared" si="9"/>
        <v>25</v>
      </c>
      <c r="C118" t="str">
        <f>"004"</f>
        <v>004</v>
      </c>
      <c r="D118" t="s">
        <v>1959</v>
      </c>
      <c r="E118" t="s">
        <v>1975</v>
      </c>
      <c r="F118" t="s">
        <v>633</v>
      </c>
      <c r="G118" t="s">
        <v>1976</v>
      </c>
    </row>
    <row r="119" spans="1:7" x14ac:dyDescent="0.25">
      <c r="A119" t="str">
        <f t="shared" si="6"/>
        <v>207RC0001X</v>
      </c>
      <c r="B119" t="str">
        <f t="shared" si="9"/>
        <v>25</v>
      </c>
      <c r="C119" t="str">
        <f>"004"</f>
        <v>004</v>
      </c>
      <c r="D119" t="s">
        <v>1959</v>
      </c>
      <c r="E119" t="s">
        <v>1975</v>
      </c>
      <c r="F119" t="s">
        <v>635</v>
      </c>
      <c r="G119" t="s">
        <v>1977</v>
      </c>
    </row>
    <row r="120" spans="1:7" x14ac:dyDescent="0.25">
      <c r="A120" t="str">
        <f t="shared" si="6"/>
        <v>207RI0011X</v>
      </c>
      <c r="B120" t="str">
        <f t="shared" si="9"/>
        <v>25</v>
      </c>
      <c r="C120" t="str">
        <f>"004"</f>
        <v>004</v>
      </c>
      <c r="D120" t="s">
        <v>1959</v>
      </c>
      <c r="E120" t="s">
        <v>1975</v>
      </c>
      <c r="F120" t="s">
        <v>657</v>
      </c>
      <c r="G120" t="s">
        <v>1978</v>
      </c>
    </row>
    <row r="121" spans="1:7" x14ac:dyDescent="0.25">
      <c r="A121" t="str">
        <f t="shared" si="6"/>
        <v>207N00000X</v>
      </c>
      <c r="B121" t="str">
        <f t="shared" si="9"/>
        <v>25</v>
      </c>
      <c r="C121" t="str">
        <f t="shared" ref="C121:C126" si="11">"005"</f>
        <v>005</v>
      </c>
      <c r="D121" t="s">
        <v>1959</v>
      </c>
      <c r="E121" t="s">
        <v>1979</v>
      </c>
      <c r="F121" t="s">
        <v>575</v>
      </c>
      <c r="G121" t="s">
        <v>1979</v>
      </c>
    </row>
    <row r="122" spans="1:7" x14ac:dyDescent="0.25">
      <c r="A122" t="str">
        <f t="shared" si="6"/>
        <v>207ND0101X</v>
      </c>
      <c r="B122" t="str">
        <f t="shared" si="9"/>
        <v>25</v>
      </c>
      <c r="C122" t="str">
        <f t="shared" si="11"/>
        <v>005</v>
      </c>
      <c r="D122" t="s">
        <v>1959</v>
      </c>
      <c r="E122" t="s">
        <v>1979</v>
      </c>
      <c r="F122" t="s">
        <v>577</v>
      </c>
      <c r="G122" t="s">
        <v>1980</v>
      </c>
    </row>
    <row r="123" spans="1:7" x14ac:dyDescent="0.25">
      <c r="A123" t="str">
        <f t="shared" si="6"/>
        <v>207ND0900X</v>
      </c>
      <c r="B123" t="str">
        <f t="shared" si="9"/>
        <v>25</v>
      </c>
      <c r="C123" t="str">
        <f t="shared" si="11"/>
        <v>005</v>
      </c>
      <c r="D123" t="s">
        <v>1959</v>
      </c>
      <c r="E123" t="s">
        <v>1979</v>
      </c>
      <c r="F123" t="s">
        <v>579</v>
      </c>
      <c r="G123" t="s">
        <v>1981</v>
      </c>
    </row>
    <row r="124" spans="1:7" x14ac:dyDescent="0.25">
      <c r="A124" t="str">
        <f t="shared" si="6"/>
        <v>207NI0002X</v>
      </c>
      <c r="B124" t="str">
        <f t="shared" si="9"/>
        <v>25</v>
      </c>
      <c r="C124" t="str">
        <f t="shared" si="11"/>
        <v>005</v>
      </c>
      <c r="D124" t="s">
        <v>1959</v>
      </c>
      <c r="E124" t="s">
        <v>1979</v>
      </c>
      <c r="F124" t="s">
        <v>581</v>
      </c>
      <c r="G124" t="s">
        <v>1982</v>
      </c>
    </row>
    <row r="125" spans="1:7" x14ac:dyDescent="0.25">
      <c r="A125" t="str">
        <f t="shared" si="6"/>
        <v>207NP0225X</v>
      </c>
      <c r="B125" t="str">
        <f t="shared" si="9"/>
        <v>25</v>
      </c>
      <c r="C125" t="str">
        <f t="shared" si="11"/>
        <v>005</v>
      </c>
      <c r="D125" t="s">
        <v>1959</v>
      </c>
      <c r="E125" t="s">
        <v>1979</v>
      </c>
      <c r="F125" t="s">
        <v>583</v>
      </c>
      <c r="G125" t="s">
        <v>1983</v>
      </c>
    </row>
    <row r="126" spans="1:7" x14ac:dyDescent="0.25">
      <c r="A126" t="str">
        <f t="shared" si="6"/>
        <v>207NS0135X</v>
      </c>
      <c r="B126" t="str">
        <f t="shared" si="9"/>
        <v>25</v>
      </c>
      <c r="C126" t="str">
        <f t="shared" si="11"/>
        <v>005</v>
      </c>
      <c r="D126" t="s">
        <v>1959</v>
      </c>
      <c r="E126" t="s">
        <v>1979</v>
      </c>
      <c r="F126" t="s">
        <v>585</v>
      </c>
      <c r="G126" t="s">
        <v>1984</v>
      </c>
    </row>
    <row r="127" spans="1:7" x14ac:dyDescent="0.25">
      <c r="A127" t="str">
        <f t="shared" si="6"/>
        <v>207RE0101X</v>
      </c>
      <c r="B127" t="str">
        <f t="shared" si="9"/>
        <v>25</v>
      </c>
      <c r="C127" t="str">
        <f>"006"</f>
        <v>006</v>
      </c>
      <c r="D127" t="s">
        <v>1959</v>
      </c>
      <c r="E127" t="s">
        <v>1985</v>
      </c>
      <c r="F127" t="s">
        <v>639</v>
      </c>
      <c r="G127" t="s">
        <v>1986</v>
      </c>
    </row>
    <row r="128" spans="1:7" x14ac:dyDescent="0.25">
      <c r="A128" t="str">
        <f t="shared" si="6"/>
        <v>207P00000X</v>
      </c>
      <c r="B128" t="str">
        <f t="shared" si="9"/>
        <v>25</v>
      </c>
      <c r="C128" t="str">
        <f t="shared" ref="C128:C134" si="12">"007"</f>
        <v>007</v>
      </c>
      <c r="D128" t="s">
        <v>1959</v>
      </c>
      <c r="E128" t="s">
        <v>1987</v>
      </c>
      <c r="F128" t="s">
        <v>587</v>
      </c>
      <c r="G128" t="s">
        <v>1987</v>
      </c>
    </row>
    <row r="129" spans="1:7" x14ac:dyDescent="0.25">
      <c r="A129" t="str">
        <f t="shared" si="6"/>
        <v>207PE0004X</v>
      </c>
      <c r="B129" t="str">
        <f t="shared" si="9"/>
        <v>25</v>
      </c>
      <c r="C129" t="str">
        <f t="shared" si="12"/>
        <v>007</v>
      </c>
      <c r="D129" t="s">
        <v>1959</v>
      </c>
      <c r="E129" t="s">
        <v>1987</v>
      </c>
      <c r="F129" t="s">
        <v>589</v>
      </c>
      <c r="G129" t="s">
        <v>1988</v>
      </c>
    </row>
    <row r="130" spans="1:7" x14ac:dyDescent="0.25">
      <c r="A130" t="str">
        <f t="shared" si="6"/>
        <v>207PE0005X</v>
      </c>
      <c r="B130" t="str">
        <f t="shared" si="9"/>
        <v>25</v>
      </c>
      <c r="C130" t="str">
        <f t="shared" si="12"/>
        <v>007</v>
      </c>
      <c r="D130" t="s">
        <v>1959</v>
      </c>
      <c r="E130" t="s">
        <v>1987</v>
      </c>
      <c r="F130" t="s">
        <v>591</v>
      </c>
      <c r="G130" t="s">
        <v>1989</v>
      </c>
    </row>
    <row r="131" spans="1:7" x14ac:dyDescent="0.25">
      <c r="A131" t="str">
        <f t="shared" ref="A131:A194" si="13">CLEAN(F131)</f>
        <v>207PH0002X</v>
      </c>
      <c r="B131" t="str">
        <f t="shared" si="9"/>
        <v>25</v>
      </c>
      <c r="C131" t="str">
        <f t="shared" si="12"/>
        <v>007</v>
      </c>
      <c r="D131" t="s">
        <v>1959</v>
      </c>
      <c r="E131" t="s">
        <v>1987</v>
      </c>
      <c r="F131" t="s">
        <v>593</v>
      </c>
      <c r="G131" t="s">
        <v>1990</v>
      </c>
    </row>
    <row r="132" spans="1:7" x14ac:dyDescent="0.25">
      <c r="A132" t="str">
        <f t="shared" si="13"/>
        <v>207PP0204X</v>
      </c>
      <c r="B132" t="str">
        <f t="shared" si="9"/>
        <v>25</v>
      </c>
      <c r="C132" t="str">
        <f t="shared" si="12"/>
        <v>007</v>
      </c>
      <c r="D132" t="s">
        <v>1959</v>
      </c>
      <c r="E132" t="s">
        <v>1987</v>
      </c>
      <c r="F132" t="s">
        <v>595</v>
      </c>
      <c r="G132" t="s">
        <v>1991</v>
      </c>
    </row>
    <row r="133" spans="1:7" x14ac:dyDescent="0.25">
      <c r="A133" t="str">
        <f t="shared" si="13"/>
        <v>207PS0010X</v>
      </c>
      <c r="B133" t="str">
        <f t="shared" si="9"/>
        <v>25</v>
      </c>
      <c r="C133" t="str">
        <f t="shared" si="12"/>
        <v>007</v>
      </c>
      <c r="D133" t="s">
        <v>1959</v>
      </c>
      <c r="E133" t="s">
        <v>1987</v>
      </c>
      <c r="F133" t="s">
        <v>597</v>
      </c>
      <c r="G133" t="s">
        <v>1992</v>
      </c>
    </row>
    <row r="134" spans="1:7" x14ac:dyDescent="0.25">
      <c r="A134" t="str">
        <f t="shared" si="13"/>
        <v>207PT0002X</v>
      </c>
      <c r="B134" t="str">
        <f t="shared" si="9"/>
        <v>25</v>
      </c>
      <c r="C134" t="str">
        <f t="shared" si="12"/>
        <v>007</v>
      </c>
      <c r="D134" t="s">
        <v>1959</v>
      </c>
      <c r="E134" t="s">
        <v>1987</v>
      </c>
      <c r="F134" t="s">
        <v>599</v>
      </c>
      <c r="G134" t="s">
        <v>1993</v>
      </c>
    </row>
    <row r="135" spans="1:7" x14ac:dyDescent="0.25">
      <c r="A135" t="str">
        <f t="shared" si="13"/>
        <v>207RE0101X</v>
      </c>
      <c r="B135" t="str">
        <f t="shared" si="9"/>
        <v>25</v>
      </c>
      <c r="C135" t="str">
        <f>"008"</f>
        <v>008</v>
      </c>
      <c r="D135" t="s">
        <v>1959</v>
      </c>
      <c r="E135" t="s">
        <v>1994</v>
      </c>
      <c r="F135" t="s">
        <v>639</v>
      </c>
      <c r="G135" t="s">
        <v>1986</v>
      </c>
    </row>
    <row r="136" spans="1:7" x14ac:dyDescent="0.25">
      <c r="A136" t="str">
        <f t="shared" si="13"/>
        <v>202D00000X</v>
      </c>
      <c r="B136" t="str">
        <f t="shared" si="9"/>
        <v>25</v>
      </c>
      <c r="C136" t="str">
        <f t="shared" ref="C136:C143" si="14">"009"</f>
        <v>009</v>
      </c>
      <c r="D136" t="s">
        <v>1959</v>
      </c>
      <c r="E136" t="s">
        <v>1995</v>
      </c>
      <c r="F136" t="s">
        <v>1996</v>
      </c>
      <c r="G136" t="s">
        <v>1997</v>
      </c>
    </row>
    <row r="137" spans="1:7" x14ac:dyDescent="0.25">
      <c r="A137" t="str">
        <f t="shared" si="13"/>
        <v>207Q00000X</v>
      </c>
      <c r="B137" t="str">
        <f t="shared" si="9"/>
        <v>25</v>
      </c>
      <c r="C137" t="str">
        <f t="shared" si="14"/>
        <v>009</v>
      </c>
      <c r="D137" t="s">
        <v>1959</v>
      </c>
      <c r="E137" t="s">
        <v>1995</v>
      </c>
      <c r="F137" t="s">
        <v>601</v>
      </c>
      <c r="G137" t="s">
        <v>1998</v>
      </c>
    </row>
    <row r="138" spans="1:7" x14ac:dyDescent="0.25">
      <c r="A138" t="str">
        <f t="shared" si="13"/>
        <v>207QA0401X</v>
      </c>
      <c r="B138" t="str">
        <f t="shared" si="9"/>
        <v>25</v>
      </c>
      <c r="C138" t="str">
        <f t="shared" si="14"/>
        <v>009</v>
      </c>
      <c r="D138" t="s">
        <v>1959</v>
      </c>
      <c r="E138" t="s">
        <v>1995</v>
      </c>
      <c r="F138" t="s">
        <v>605</v>
      </c>
      <c r="G138" t="s">
        <v>1999</v>
      </c>
    </row>
    <row r="139" spans="1:7" x14ac:dyDescent="0.25">
      <c r="A139" t="str">
        <f t="shared" si="13"/>
        <v>207QA0505X</v>
      </c>
      <c r="B139" t="str">
        <f t="shared" si="9"/>
        <v>25</v>
      </c>
      <c r="C139" t="str">
        <f t="shared" si="14"/>
        <v>009</v>
      </c>
      <c r="D139" t="s">
        <v>1959</v>
      </c>
      <c r="E139" t="s">
        <v>1995</v>
      </c>
      <c r="F139" t="s">
        <v>607</v>
      </c>
      <c r="G139" t="s">
        <v>2000</v>
      </c>
    </row>
    <row r="140" spans="1:7" x14ac:dyDescent="0.25">
      <c r="A140" t="str">
        <f t="shared" si="13"/>
        <v>207QB0002X</v>
      </c>
      <c r="B140" t="str">
        <f t="shared" si="9"/>
        <v>25</v>
      </c>
      <c r="C140" t="str">
        <f t="shared" si="14"/>
        <v>009</v>
      </c>
      <c r="D140" t="s">
        <v>1959</v>
      </c>
      <c r="E140" t="s">
        <v>1995</v>
      </c>
      <c r="F140" t="s">
        <v>609</v>
      </c>
      <c r="G140" t="s">
        <v>2001</v>
      </c>
    </row>
    <row r="141" spans="1:7" x14ac:dyDescent="0.25">
      <c r="A141" t="str">
        <f t="shared" si="13"/>
        <v>207QH0002X</v>
      </c>
      <c r="B141" t="str">
        <f t="shared" si="9"/>
        <v>25</v>
      </c>
      <c r="C141" t="str">
        <f t="shared" si="14"/>
        <v>009</v>
      </c>
      <c r="D141" t="s">
        <v>1959</v>
      </c>
      <c r="E141" t="s">
        <v>1995</v>
      </c>
      <c r="F141" t="s">
        <v>613</v>
      </c>
      <c r="G141" t="s">
        <v>2002</v>
      </c>
    </row>
    <row r="142" spans="1:7" x14ac:dyDescent="0.25">
      <c r="A142" t="str">
        <f t="shared" si="13"/>
        <v>207QS0010X</v>
      </c>
      <c r="B142" t="str">
        <f t="shared" si="9"/>
        <v>25</v>
      </c>
      <c r="C142" t="str">
        <f t="shared" si="14"/>
        <v>009</v>
      </c>
      <c r="D142" t="s">
        <v>1959</v>
      </c>
      <c r="E142" t="s">
        <v>1995</v>
      </c>
      <c r="F142" t="s">
        <v>615</v>
      </c>
      <c r="G142" t="s">
        <v>2003</v>
      </c>
    </row>
    <row r="143" spans="1:7" x14ac:dyDescent="0.25">
      <c r="A143" t="str">
        <f t="shared" si="13"/>
        <v>207QS1201X</v>
      </c>
      <c r="B143" t="str">
        <f t="shared" si="9"/>
        <v>25</v>
      </c>
      <c r="C143" t="str">
        <f t="shared" si="14"/>
        <v>009</v>
      </c>
      <c r="D143" t="s">
        <v>1959</v>
      </c>
      <c r="E143" t="s">
        <v>1995</v>
      </c>
      <c r="F143" t="s">
        <v>617</v>
      </c>
      <c r="G143" t="s">
        <v>2004</v>
      </c>
    </row>
    <row r="144" spans="1:7" x14ac:dyDescent="0.25">
      <c r="A144" t="str">
        <f t="shared" si="13"/>
        <v>207RG0100X</v>
      </c>
      <c r="B144" t="str">
        <f t="shared" si="9"/>
        <v>25</v>
      </c>
      <c r="C144" t="str">
        <f>"010"</f>
        <v>010</v>
      </c>
      <c r="D144" t="s">
        <v>1959</v>
      </c>
      <c r="E144" t="s">
        <v>2005</v>
      </c>
      <c r="F144" t="s">
        <v>641</v>
      </c>
      <c r="G144" t="s">
        <v>2006</v>
      </c>
    </row>
    <row r="145" spans="1:7" x14ac:dyDescent="0.25">
      <c r="A145" t="str">
        <f t="shared" si="13"/>
        <v>207RT0003X</v>
      </c>
      <c r="B145" t="str">
        <f t="shared" si="9"/>
        <v>25</v>
      </c>
      <c r="C145" t="str">
        <f>"010"</f>
        <v>010</v>
      </c>
      <c r="D145" t="s">
        <v>1959</v>
      </c>
      <c r="E145" t="s">
        <v>2005</v>
      </c>
      <c r="F145" t="s">
        <v>673</v>
      </c>
      <c r="G145" t="s">
        <v>2007</v>
      </c>
    </row>
    <row r="146" spans="1:7" x14ac:dyDescent="0.25">
      <c r="A146" t="str">
        <f t="shared" si="13"/>
        <v>202D00000X</v>
      </c>
      <c r="B146" t="str">
        <f t="shared" si="9"/>
        <v>25</v>
      </c>
      <c r="C146" t="str">
        <f>"011"</f>
        <v>011</v>
      </c>
      <c r="D146" t="s">
        <v>1959</v>
      </c>
      <c r="E146" t="s">
        <v>2008</v>
      </c>
      <c r="F146" t="s">
        <v>1996</v>
      </c>
      <c r="G146" t="s">
        <v>1997</v>
      </c>
    </row>
    <row r="147" spans="1:7" x14ac:dyDescent="0.25">
      <c r="A147" t="str">
        <f t="shared" si="13"/>
        <v>2084E0001X</v>
      </c>
      <c r="B147" t="str">
        <f t="shared" si="9"/>
        <v>25</v>
      </c>
      <c r="C147" t="str">
        <f>"011"</f>
        <v>011</v>
      </c>
      <c r="D147" t="s">
        <v>1959</v>
      </c>
      <c r="E147" t="s">
        <v>2008</v>
      </c>
      <c r="F147" t="s">
        <v>1964</v>
      </c>
      <c r="G147" t="s">
        <v>1965</v>
      </c>
    </row>
    <row r="148" spans="1:7" x14ac:dyDescent="0.25">
      <c r="A148" t="str">
        <f t="shared" si="13"/>
        <v>208D00000X</v>
      </c>
      <c r="B148" t="str">
        <f t="shared" si="9"/>
        <v>25</v>
      </c>
      <c r="C148" t="str">
        <f>"011"</f>
        <v>011</v>
      </c>
      <c r="D148" t="s">
        <v>1959</v>
      </c>
      <c r="E148" t="s">
        <v>2008</v>
      </c>
      <c r="F148" t="s">
        <v>983</v>
      </c>
      <c r="G148" t="s">
        <v>2009</v>
      </c>
    </row>
    <row r="149" spans="1:7" x14ac:dyDescent="0.25">
      <c r="A149" t="str">
        <f t="shared" si="13"/>
        <v>202D00000X</v>
      </c>
      <c r="B149" t="str">
        <f t="shared" si="9"/>
        <v>25</v>
      </c>
      <c r="C149" t="str">
        <f t="shared" ref="C149:C158" si="15">"012"</f>
        <v>012</v>
      </c>
      <c r="D149" t="s">
        <v>1959</v>
      </c>
      <c r="E149" t="s">
        <v>2010</v>
      </c>
      <c r="F149" t="s">
        <v>1996</v>
      </c>
      <c r="G149" t="s">
        <v>1997</v>
      </c>
    </row>
    <row r="150" spans="1:7" x14ac:dyDescent="0.25">
      <c r="A150" t="str">
        <f t="shared" si="13"/>
        <v>207RA0401X</v>
      </c>
      <c r="B150" t="str">
        <f t="shared" si="9"/>
        <v>25</v>
      </c>
      <c r="C150" t="str">
        <f t="shared" si="15"/>
        <v>012</v>
      </c>
      <c r="D150" t="s">
        <v>1959</v>
      </c>
      <c r="E150" t="s">
        <v>2010</v>
      </c>
      <c r="F150" t="s">
        <v>629</v>
      </c>
      <c r="G150" t="s">
        <v>2011</v>
      </c>
    </row>
    <row r="151" spans="1:7" x14ac:dyDescent="0.25">
      <c r="A151" t="str">
        <f t="shared" si="13"/>
        <v>2083A0100X</v>
      </c>
      <c r="B151" t="str">
        <f t="shared" si="9"/>
        <v>25</v>
      </c>
      <c r="C151" t="str">
        <f t="shared" si="15"/>
        <v>012</v>
      </c>
      <c r="D151" t="s">
        <v>1959</v>
      </c>
      <c r="E151" t="s">
        <v>2010</v>
      </c>
      <c r="F151" t="s">
        <v>869</v>
      </c>
      <c r="G151" t="s">
        <v>2012</v>
      </c>
    </row>
    <row r="152" spans="1:7" x14ac:dyDescent="0.25">
      <c r="A152" t="str">
        <f t="shared" si="13"/>
        <v>2083B0002X</v>
      </c>
      <c r="B152" t="str">
        <f t="shared" si="9"/>
        <v>25</v>
      </c>
      <c r="C152" t="str">
        <f t="shared" si="15"/>
        <v>012</v>
      </c>
      <c r="D152" t="s">
        <v>1959</v>
      </c>
      <c r="E152" t="s">
        <v>2010</v>
      </c>
      <c r="F152" t="s">
        <v>873</v>
      </c>
      <c r="G152" t="s">
        <v>2013</v>
      </c>
    </row>
    <row r="153" spans="1:7" x14ac:dyDescent="0.25">
      <c r="A153" t="str">
        <f t="shared" si="13"/>
        <v>2083C0008X</v>
      </c>
      <c r="B153" t="str">
        <f t="shared" si="9"/>
        <v>25</v>
      </c>
      <c r="C153" t="str">
        <f t="shared" si="15"/>
        <v>012</v>
      </c>
      <c r="D153" t="s">
        <v>1959</v>
      </c>
      <c r="E153" t="s">
        <v>2010</v>
      </c>
      <c r="F153" t="s">
        <v>875</v>
      </c>
      <c r="G153" t="s">
        <v>2014</v>
      </c>
    </row>
    <row r="154" spans="1:7" x14ac:dyDescent="0.25">
      <c r="A154" t="str">
        <f t="shared" si="13"/>
        <v>2083P0011X</v>
      </c>
      <c r="B154" t="str">
        <f t="shared" si="9"/>
        <v>25</v>
      </c>
      <c r="C154" t="str">
        <f t="shared" si="15"/>
        <v>012</v>
      </c>
      <c r="D154" t="s">
        <v>1959</v>
      </c>
      <c r="E154" t="s">
        <v>2010</v>
      </c>
      <c r="F154" t="s">
        <v>877</v>
      </c>
      <c r="G154" t="s">
        <v>2015</v>
      </c>
    </row>
    <row r="155" spans="1:7" x14ac:dyDescent="0.25">
      <c r="A155" t="str">
        <f t="shared" si="13"/>
        <v>2083P0500X</v>
      </c>
      <c r="B155" t="str">
        <f t="shared" si="9"/>
        <v>25</v>
      </c>
      <c r="C155" t="str">
        <f t="shared" si="15"/>
        <v>012</v>
      </c>
      <c r="D155" t="s">
        <v>1959</v>
      </c>
      <c r="E155" t="s">
        <v>2010</v>
      </c>
      <c r="F155" t="s">
        <v>879</v>
      </c>
      <c r="G155" t="s">
        <v>2016</v>
      </c>
    </row>
    <row r="156" spans="1:7" x14ac:dyDescent="0.25">
      <c r="A156" t="str">
        <f t="shared" si="13"/>
        <v>2083P0901X</v>
      </c>
      <c r="B156" t="str">
        <f t="shared" si="9"/>
        <v>25</v>
      </c>
      <c r="C156" t="str">
        <f t="shared" si="15"/>
        <v>012</v>
      </c>
      <c r="D156" t="s">
        <v>1959</v>
      </c>
      <c r="E156" t="s">
        <v>2010</v>
      </c>
      <c r="F156" t="s">
        <v>881</v>
      </c>
      <c r="G156" t="s">
        <v>2017</v>
      </c>
    </row>
    <row r="157" spans="1:7" x14ac:dyDescent="0.25">
      <c r="A157" t="str">
        <f t="shared" si="13"/>
        <v>2083S0010X</v>
      </c>
      <c r="B157" t="str">
        <f t="shared" si="9"/>
        <v>25</v>
      </c>
      <c r="C157" t="str">
        <f t="shared" si="15"/>
        <v>012</v>
      </c>
      <c r="D157" t="s">
        <v>1959</v>
      </c>
      <c r="E157" t="s">
        <v>2010</v>
      </c>
      <c r="F157" t="s">
        <v>883</v>
      </c>
      <c r="G157" t="s">
        <v>2018</v>
      </c>
    </row>
    <row r="158" spans="1:7" x14ac:dyDescent="0.25">
      <c r="A158" t="str">
        <f t="shared" si="13"/>
        <v>2083T0002X</v>
      </c>
      <c r="B158" t="str">
        <f t="shared" si="9"/>
        <v>25</v>
      </c>
      <c r="C158" t="str">
        <f t="shared" si="15"/>
        <v>012</v>
      </c>
      <c r="D158" t="s">
        <v>1959</v>
      </c>
      <c r="E158" t="s">
        <v>2010</v>
      </c>
      <c r="F158" t="s">
        <v>885</v>
      </c>
      <c r="G158" t="s">
        <v>2019</v>
      </c>
    </row>
    <row r="159" spans="1:7" x14ac:dyDescent="0.25">
      <c r="A159" t="str">
        <f t="shared" si="13"/>
        <v>207QG0300X</v>
      </c>
      <c r="B159" t="str">
        <f t="shared" si="9"/>
        <v>25</v>
      </c>
      <c r="C159" t="str">
        <f>"013"</f>
        <v>013</v>
      </c>
      <c r="D159" t="s">
        <v>1959</v>
      </c>
      <c r="E159" t="s">
        <v>2020</v>
      </c>
      <c r="F159" t="s">
        <v>611</v>
      </c>
      <c r="G159" t="s">
        <v>2021</v>
      </c>
    </row>
    <row r="160" spans="1:7" x14ac:dyDescent="0.25">
      <c r="A160" t="str">
        <f t="shared" si="13"/>
        <v>207RG0300X</v>
      </c>
      <c r="B160" t="str">
        <f t="shared" si="9"/>
        <v>25</v>
      </c>
      <c r="C160" t="str">
        <f>"013"</f>
        <v>013</v>
      </c>
      <c r="D160" t="s">
        <v>1959</v>
      </c>
      <c r="E160" t="s">
        <v>2020</v>
      </c>
      <c r="F160" t="s">
        <v>643</v>
      </c>
      <c r="G160" t="s">
        <v>2022</v>
      </c>
    </row>
    <row r="161" spans="1:7" x14ac:dyDescent="0.25">
      <c r="A161" t="str">
        <f t="shared" si="13"/>
        <v>207VG0400X</v>
      </c>
      <c r="B161" t="str">
        <f t="shared" si="9"/>
        <v>25</v>
      </c>
      <c r="C161" t="str">
        <f>"014"</f>
        <v>014</v>
      </c>
      <c r="D161" t="s">
        <v>1959</v>
      </c>
      <c r="E161" t="s">
        <v>2023</v>
      </c>
      <c r="F161" t="s">
        <v>709</v>
      </c>
      <c r="G161" t="s">
        <v>2024</v>
      </c>
    </row>
    <row r="162" spans="1:7" x14ac:dyDescent="0.25">
      <c r="A162" t="str">
        <f t="shared" si="13"/>
        <v>207VX0201X</v>
      </c>
      <c r="B162" t="str">
        <f t="shared" si="9"/>
        <v>25</v>
      </c>
      <c r="C162" t="str">
        <f>"014"</f>
        <v>014</v>
      </c>
      <c r="D162" t="s">
        <v>1959</v>
      </c>
      <c r="E162" t="s">
        <v>2023</v>
      </c>
      <c r="F162" t="s">
        <v>717</v>
      </c>
      <c r="G162" t="s">
        <v>2025</v>
      </c>
    </row>
    <row r="163" spans="1:7" x14ac:dyDescent="0.25">
      <c r="A163" t="str">
        <f t="shared" si="13"/>
        <v>207RH0000X</v>
      </c>
      <c r="B163" t="str">
        <f t="shared" si="9"/>
        <v>25</v>
      </c>
      <c r="C163" t="str">
        <f>"015"</f>
        <v>015</v>
      </c>
      <c r="D163" t="s">
        <v>1959</v>
      </c>
      <c r="E163" t="s">
        <v>2026</v>
      </c>
      <c r="F163" t="s">
        <v>645</v>
      </c>
      <c r="G163" t="s">
        <v>2027</v>
      </c>
    </row>
    <row r="164" spans="1:7" x14ac:dyDescent="0.25">
      <c r="A164" t="str">
        <f t="shared" si="13"/>
        <v>207ZH0000X</v>
      </c>
      <c r="B164" t="str">
        <f t="shared" si="9"/>
        <v>25</v>
      </c>
      <c r="C164" t="str">
        <f>"015"</f>
        <v>015</v>
      </c>
      <c r="D164" t="s">
        <v>1959</v>
      </c>
      <c r="E164" t="s">
        <v>2026</v>
      </c>
      <c r="F164" t="s">
        <v>779</v>
      </c>
      <c r="G164" t="s">
        <v>2028</v>
      </c>
    </row>
    <row r="165" spans="1:7" x14ac:dyDescent="0.25">
      <c r="A165" t="str">
        <f t="shared" si="13"/>
        <v>207KI0005X</v>
      </c>
      <c r="B165" t="str">
        <f t="shared" si="9"/>
        <v>25</v>
      </c>
      <c r="C165" t="str">
        <f>"016"</f>
        <v>016</v>
      </c>
      <c r="D165" t="s">
        <v>1959</v>
      </c>
      <c r="E165" t="s">
        <v>2029</v>
      </c>
      <c r="F165" t="s">
        <v>561</v>
      </c>
      <c r="G165" t="s">
        <v>2030</v>
      </c>
    </row>
    <row r="166" spans="1:7" x14ac:dyDescent="0.25">
      <c r="A166" t="str">
        <f t="shared" si="13"/>
        <v>207RI0001X</v>
      </c>
      <c r="B166" t="str">
        <f t="shared" si="9"/>
        <v>25</v>
      </c>
      <c r="C166" t="str">
        <f>"016"</f>
        <v>016</v>
      </c>
      <c r="D166" t="s">
        <v>1959</v>
      </c>
      <c r="E166" t="s">
        <v>2029</v>
      </c>
      <c r="F166" t="s">
        <v>653</v>
      </c>
      <c r="G166" t="s">
        <v>2031</v>
      </c>
    </row>
    <row r="167" spans="1:7" x14ac:dyDescent="0.25">
      <c r="A167" t="str">
        <f t="shared" si="13"/>
        <v>207RI0200X</v>
      </c>
      <c r="B167" t="str">
        <f t="shared" si="9"/>
        <v>25</v>
      </c>
      <c r="C167" t="str">
        <f>"017"</f>
        <v>017</v>
      </c>
      <c r="D167" t="s">
        <v>1959</v>
      </c>
      <c r="E167" t="s">
        <v>2032</v>
      </c>
      <c r="F167" t="s">
        <v>659</v>
      </c>
      <c r="G167" t="s">
        <v>2033</v>
      </c>
    </row>
    <row r="168" spans="1:7" x14ac:dyDescent="0.25">
      <c r="A168" t="str">
        <f t="shared" si="13"/>
        <v>202D00000X</v>
      </c>
      <c r="B168" t="str">
        <f t="shared" si="9"/>
        <v>25</v>
      </c>
      <c r="C168" t="str">
        <f t="shared" ref="C168:C180" si="16">"018"</f>
        <v>018</v>
      </c>
      <c r="D168" t="s">
        <v>1959</v>
      </c>
      <c r="E168" t="s">
        <v>2034</v>
      </c>
      <c r="F168" t="s">
        <v>1996</v>
      </c>
      <c r="G168" t="s">
        <v>1997</v>
      </c>
    </row>
    <row r="169" spans="1:7" x14ac:dyDescent="0.25">
      <c r="A169" t="str">
        <f t="shared" si="13"/>
        <v>207R00000X</v>
      </c>
      <c r="B169" t="str">
        <f t="shared" si="9"/>
        <v>25</v>
      </c>
      <c r="C169" t="str">
        <f t="shared" si="16"/>
        <v>018</v>
      </c>
      <c r="D169" t="s">
        <v>1959</v>
      </c>
      <c r="E169" t="s">
        <v>2034</v>
      </c>
      <c r="F169" t="s">
        <v>619</v>
      </c>
      <c r="G169" t="s">
        <v>2034</v>
      </c>
    </row>
    <row r="170" spans="1:7" x14ac:dyDescent="0.25">
      <c r="A170" t="str">
        <f t="shared" si="13"/>
        <v>207RA0401X</v>
      </c>
      <c r="B170" t="str">
        <f t="shared" ref="B170:B233" si="17">"25"</f>
        <v>25</v>
      </c>
      <c r="C170" t="str">
        <f t="shared" si="16"/>
        <v>018</v>
      </c>
      <c r="D170" t="s">
        <v>1959</v>
      </c>
      <c r="E170" t="s">
        <v>2034</v>
      </c>
      <c r="F170" t="s">
        <v>629</v>
      </c>
      <c r="G170" t="s">
        <v>2011</v>
      </c>
    </row>
    <row r="171" spans="1:7" x14ac:dyDescent="0.25">
      <c r="A171" t="str">
        <f t="shared" si="13"/>
        <v>207RB0002X</v>
      </c>
      <c r="B171" t="str">
        <f t="shared" si="17"/>
        <v>25</v>
      </c>
      <c r="C171" t="str">
        <f t="shared" si="16"/>
        <v>018</v>
      </c>
      <c r="D171" t="s">
        <v>1959</v>
      </c>
      <c r="E171" t="s">
        <v>2034</v>
      </c>
      <c r="F171" t="s">
        <v>631</v>
      </c>
      <c r="G171" t="s">
        <v>2035</v>
      </c>
    </row>
    <row r="172" spans="1:7" x14ac:dyDescent="0.25">
      <c r="A172" t="str">
        <f t="shared" si="13"/>
        <v>207RC0200X</v>
      </c>
      <c r="B172" t="str">
        <f t="shared" si="17"/>
        <v>25</v>
      </c>
      <c r="C172" t="str">
        <f t="shared" si="16"/>
        <v>018</v>
      </c>
      <c r="D172" t="s">
        <v>1959</v>
      </c>
      <c r="E172" t="s">
        <v>2034</v>
      </c>
      <c r="F172" t="s">
        <v>637</v>
      </c>
      <c r="G172" t="s">
        <v>2036</v>
      </c>
    </row>
    <row r="173" spans="1:7" x14ac:dyDescent="0.25">
      <c r="A173" t="str">
        <f t="shared" si="13"/>
        <v>207RH0002X</v>
      </c>
      <c r="B173" t="str">
        <f t="shared" si="17"/>
        <v>25</v>
      </c>
      <c r="C173" t="str">
        <f t="shared" si="16"/>
        <v>018</v>
      </c>
      <c r="D173" t="s">
        <v>1959</v>
      </c>
      <c r="E173" t="s">
        <v>2034</v>
      </c>
      <c r="F173" t="s">
        <v>647</v>
      </c>
      <c r="G173" t="s">
        <v>2037</v>
      </c>
    </row>
    <row r="174" spans="1:7" x14ac:dyDescent="0.25">
      <c r="A174" t="str">
        <f t="shared" si="13"/>
        <v>207RH0005X</v>
      </c>
      <c r="B174" t="str">
        <f t="shared" si="17"/>
        <v>25</v>
      </c>
      <c r="C174" t="str">
        <f t="shared" si="16"/>
        <v>018</v>
      </c>
      <c r="D174" t="s">
        <v>1959</v>
      </c>
      <c r="E174" t="s">
        <v>2034</v>
      </c>
      <c r="F174" t="s">
        <v>651</v>
      </c>
      <c r="G174" t="s">
        <v>2038</v>
      </c>
    </row>
    <row r="175" spans="1:7" x14ac:dyDescent="0.25">
      <c r="A175" t="str">
        <f t="shared" si="13"/>
        <v>207RI0008X</v>
      </c>
      <c r="B175" t="str">
        <f t="shared" si="17"/>
        <v>25</v>
      </c>
      <c r="C175" t="str">
        <f t="shared" si="16"/>
        <v>018</v>
      </c>
      <c r="D175" t="s">
        <v>1959</v>
      </c>
      <c r="E175" t="s">
        <v>2034</v>
      </c>
      <c r="F175" t="s">
        <v>655</v>
      </c>
      <c r="G175" t="s">
        <v>2039</v>
      </c>
    </row>
    <row r="176" spans="1:7" x14ac:dyDescent="0.25">
      <c r="A176" t="str">
        <f t="shared" si="13"/>
        <v>207RM1200X</v>
      </c>
      <c r="B176" t="str">
        <f t="shared" si="17"/>
        <v>25</v>
      </c>
      <c r="C176" t="str">
        <f t="shared" si="16"/>
        <v>018</v>
      </c>
      <c r="D176" t="s">
        <v>1959</v>
      </c>
      <c r="E176" t="s">
        <v>2034</v>
      </c>
      <c r="F176" t="s">
        <v>661</v>
      </c>
      <c r="G176" t="s">
        <v>2040</v>
      </c>
    </row>
    <row r="177" spans="1:7" x14ac:dyDescent="0.25">
      <c r="A177" t="str">
        <f t="shared" si="13"/>
        <v>207RS0010X</v>
      </c>
      <c r="B177" t="str">
        <f t="shared" si="17"/>
        <v>25</v>
      </c>
      <c r="C177" t="str">
        <f t="shared" si="16"/>
        <v>018</v>
      </c>
      <c r="D177" t="s">
        <v>1959</v>
      </c>
      <c r="E177" t="s">
        <v>2034</v>
      </c>
      <c r="F177" t="s">
        <v>669</v>
      </c>
      <c r="G177" t="s">
        <v>2041</v>
      </c>
    </row>
    <row r="178" spans="1:7" x14ac:dyDescent="0.25">
      <c r="A178" t="str">
        <f t="shared" si="13"/>
        <v>207RS0012X</v>
      </c>
      <c r="B178" t="str">
        <f t="shared" si="17"/>
        <v>25</v>
      </c>
      <c r="C178" t="str">
        <f t="shared" si="16"/>
        <v>018</v>
      </c>
      <c r="D178" t="s">
        <v>1959</v>
      </c>
      <c r="E178" t="s">
        <v>2034</v>
      </c>
      <c r="F178" t="s">
        <v>671</v>
      </c>
      <c r="G178" t="s">
        <v>2042</v>
      </c>
    </row>
    <row r="179" spans="1:7" x14ac:dyDescent="0.25">
      <c r="A179" t="str">
        <f t="shared" si="13"/>
        <v>2084E0001X</v>
      </c>
      <c r="B179" t="str">
        <f t="shared" si="17"/>
        <v>25</v>
      </c>
      <c r="C179" t="str">
        <f t="shared" si="16"/>
        <v>018</v>
      </c>
      <c r="D179" t="s">
        <v>1959</v>
      </c>
      <c r="E179" t="s">
        <v>2034</v>
      </c>
      <c r="F179" t="s">
        <v>1964</v>
      </c>
      <c r="G179" t="s">
        <v>1965</v>
      </c>
    </row>
    <row r="180" spans="1:7" x14ac:dyDescent="0.25">
      <c r="A180" t="str">
        <f t="shared" si="13"/>
        <v>261QI0500X</v>
      </c>
      <c r="B180" t="str">
        <f t="shared" si="17"/>
        <v>25</v>
      </c>
      <c r="C180" t="str">
        <f t="shared" si="16"/>
        <v>018</v>
      </c>
      <c r="D180" t="s">
        <v>1959</v>
      </c>
      <c r="E180" t="s">
        <v>2034</v>
      </c>
      <c r="F180" t="s">
        <v>1401</v>
      </c>
      <c r="G180" t="s">
        <v>1940</v>
      </c>
    </row>
    <row r="181" spans="1:7" x14ac:dyDescent="0.25">
      <c r="A181" t="str">
        <f t="shared" si="13"/>
        <v>2080N0001X</v>
      </c>
      <c r="B181" t="str">
        <f t="shared" si="17"/>
        <v>25</v>
      </c>
      <c r="C181" t="str">
        <f>"019"</f>
        <v>019</v>
      </c>
      <c r="D181" t="s">
        <v>1959</v>
      </c>
      <c r="E181" t="s">
        <v>2043</v>
      </c>
      <c r="F181" t="s">
        <v>811</v>
      </c>
      <c r="G181" t="s">
        <v>2044</v>
      </c>
    </row>
    <row r="182" spans="1:7" x14ac:dyDescent="0.25">
      <c r="A182" t="str">
        <f t="shared" si="13"/>
        <v>207RN0300X</v>
      </c>
      <c r="B182" t="str">
        <f t="shared" si="17"/>
        <v>25</v>
      </c>
      <c r="C182" t="str">
        <f>"021"</f>
        <v>021</v>
      </c>
      <c r="D182" t="s">
        <v>1959</v>
      </c>
      <c r="E182" t="s">
        <v>2045</v>
      </c>
      <c r="F182" t="s">
        <v>663</v>
      </c>
      <c r="G182" t="s">
        <v>2046</v>
      </c>
    </row>
    <row r="183" spans="1:7" x14ac:dyDescent="0.25">
      <c r="A183" t="str">
        <f t="shared" si="13"/>
        <v>2084B0002X</v>
      </c>
      <c r="B183" t="str">
        <f t="shared" si="17"/>
        <v>25</v>
      </c>
      <c r="C183" t="str">
        <f t="shared" ref="C183:C198" si="18">"022"</f>
        <v>022</v>
      </c>
      <c r="D183" t="s">
        <v>1959</v>
      </c>
      <c r="E183" t="s">
        <v>2047</v>
      </c>
      <c r="F183" t="s">
        <v>893</v>
      </c>
      <c r="G183" t="s">
        <v>2048</v>
      </c>
    </row>
    <row r="184" spans="1:7" x14ac:dyDescent="0.25">
      <c r="A184" t="str">
        <f t="shared" si="13"/>
        <v>2084B0040X</v>
      </c>
      <c r="B184" t="str">
        <f t="shared" si="17"/>
        <v>25</v>
      </c>
      <c r="C184" t="str">
        <f t="shared" si="18"/>
        <v>022</v>
      </c>
      <c r="D184" t="s">
        <v>1959</v>
      </c>
      <c r="E184" t="s">
        <v>2047</v>
      </c>
      <c r="F184" t="s">
        <v>895</v>
      </c>
      <c r="G184" t="s">
        <v>2049</v>
      </c>
    </row>
    <row r="185" spans="1:7" x14ac:dyDescent="0.25">
      <c r="A185" t="str">
        <f t="shared" si="13"/>
        <v>2084D0003X</v>
      </c>
      <c r="B185" t="str">
        <f t="shared" si="17"/>
        <v>25</v>
      </c>
      <c r="C185" t="str">
        <f t="shared" si="18"/>
        <v>022</v>
      </c>
      <c r="D185" t="s">
        <v>1959</v>
      </c>
      <c r="E185" t="s">
        <v>2047</v>
      </c>
      <c r="F185" t="s">
        <v>897</v>
      </c>
      <c r="G185" t="s">
        <v>2050</v>
      </c>
    </row>
    <row r="186" spans="1:7" x14ac:dyDescent="0.25">
      <c r="A186" t="str">
        <f t="shared" si="13"/>
        <v>2084E0001X</v>
      </c>
      <c r="B186" t="str">
        <f t="shared" si="17"/>
        <v>25</v>
      </c>
      <c r="C186" t="str">
        <f t="shared" si="18"/>
        <v>022</v>
      </c>
      <c r="D186" t="s">
        <v>1959</v>
      </c>
      <c r="E186" t="s">
        <v>2047</v>
      </c>
      <c r="F186" t="s">
        <v>1964</v>
      </c>
      <c r="G186" t="s">
        <v>1965</v>
      </c>
    </row>
    <row r="187" spans="1:7" x14ac:dyDescent="0.25">
      <c r="A187" t="str">
        <f t="shared" si="13"/>
        <v>2084H0002X</v>
      </c>
      <c r="B187" t="str">
        <f t="shared" si="17"/>
        <v>25</v>
      </c>
      <c r="C187" t="str">
        <f t="shared" si="18"/>
        <v>022</v>
      </c>
      <c r="D187" t="s">
        <v>1959</v>
      </c>
      <c r="E187" t="s">
        <v>2047</v>
      </c>
      <c r="F187" t="s">
        <v>901</v>
      </c>
      <c r="G187" t="s">
        <v>2051</v>
      </c>
    </row>
    <row r="188" spans="1:7" x14ac:dyDescent="0.25">
      <c r="A188" t="str">
        <f t="shared" si="13"/>
        <v>2084N0008X</v>
      </c>
      <c r="B188" t="str">
        <f t="shared" si="17"/>
        <v>25</v>
      </c>
      <c r="C188" t="str">
        <f t="shared" si="18"/>
        <v>022</v>
      </c>
      <c r="D188" t="s">
        <v>1959</v>
      </c>
      <c r="E188" t="s">
        <v>2047</v>
      </c>
      <c r="F188" t="s">
        <v>903</v>
      </c>
      <c r="G188" t="s">
        <v>2052</v>
      </c>
    </row>
    <row r="189" spans="1:7" x14ac:dyDescent="0.25">
      <c r="A189" t="str">
        <f t="shared" si="13"/>
        <v>2084N0400X</v>
      </c>
      <c r="B189" t="str">
        <f t="shared" si="17"/>
        <v>25</v>
      </c>
      <c r="C189" t="str">
        <f t="shared" si="18"/>
        <v>022</v>
      </c>
      <c r="D189" t="s">
        <v>1959</v>
      </c>
      <c r="E189" t="s">
        <v>2047</v>
      </c>
      <c r="F189" t="s">
        <v>905</v>
      </c>
      <c r="G189" t="s">
        <v>2053</v>
      </c>
    </row>
    <row r="190" spans="1:7" x14ac:dyDescent="0.25">
      <c r="A190" t="str">
        <f t="shared" si="13"/>
        <v>2084N0600X</v>
      </c>
      <c r="B190" t="str">
        <f t="shared" si="17"/>
        <v>25</v>
      </c>
      <c r="C190" t="str">
        <f t="shared" si="18"/>
        <v>022</v>
      </c>
      <c r="D190" t="s">
        <v>1959</v>
      </c>
      <c r="E190" t="s">
        <v>2047</v>
      </c>
      <c r="F190" t="s">
        <v>909</v>
      </c>
      <c r="G190" t="s">
        <v>2054</v>
      </c>
    </row>
    <row r="191" spans="1:7" x14ac:dyDescent="0.25">
      <c r="A191" t="str">
        <f t="shared" si="13"/>
        <v>2084P0005X</v>
      </c>
      <c r="B191" t="str">
        <f t="shared" si="17"/>
        <v>25</v>
      </c>
      <c r="C191" t="str">
        <f t="shared" si="18"/>
        <v>022</v>
      </c>
      <c r="D191" t="s">
        <v>1959</v>
      </c>
      <c r="E191" t="s">
        <v>2047</v>
      </c>
      <c r="F191" t="s">
        <v>911</v>
      </c>
      <c r="G191" t="s">
        <v>2055</v>
      </c>
    </row>
    <row r="192" spans="1:7" x14ac:dyDescent="0.25">
      <c r="A192" t="str">
        <f t="shared" si="13"/>
        <v>2084P0015X</v>
      </c>
      <c r="B192" t="str">
        <f t="shared" si="17"/>
        <v>25</v>
      </c>
      <c r="C192" t="str">
        <f t="shared" si="18"/>
        <v>022</v>
      </c>
      <c r="D192" t="s">
        <v>1959</v>
      </c>
      <c r="E192" t="s">
        <v>2047</v>
      </c>
      <c r="F192" t="s">
        <v>913</v>
      </c>
      <c r="G192" t="s">
        <v>2056</v>
      </c>
    </row>
    <row r="193" spans="1:7" x14ac:dyDescent="0.25">
      <c r="A193" t="str">
        <f t="shared" si="13"/>
        <v>2084P0301X</v>
      </c>
      <c r="B193" t="str">
        <f t="shared" si="17"/>
        <v>25</v>
      </c>
      <c r="C193" t="str">
        <f t="shared" si="18"/>
        <v>022</v>
      </c>
      <c r="D193" t="s">
        <v>1959</v>
      </c>
      <c r="E193" t="s">
        <v>2047</v>
      </c>
      <c r="F193" t="s">
        <v>915</v>
      </c>
      <c r="G193" t="s">
        <v>2057</v>
      </c>
    </row>
    <row r="194" spans="1:7" x14ac:dyDescent="0.25">
      <c r="A194" t="str">
        <f t="shared" si="13"/>
        <v>2084P0805X</v>
      </c>
      <c r="B194" t="str">
        <f t="shared" si="17"/>
        <v>25</v>
      </c>
      <c r="C194" t="str">
        <f t="shared" si="18"/>
        <v>022</v>
      </c>
      <c r="D194" t="s">
        <v>1959</v>
      </c>
      <c r="E194" t="s">
        <v>2047</v>
      </c>
      <c r="F194" t="s">
        <v>923</v>
      </c>
      <c r="G194" t="s">
        <v>2058</v>
      </c>
    </row>
    <row r="195" spans="1:7" x14ac:dyDescent="0.25">
      <c r="A195" t="str">
        <f t="shared" ref="A195:A258" si="19">CLEAN(F195)</f>
        <v>2084P2900X</v>
      </c>
      <c r="B195" t="str">
        <f t="shared" si="17"/>
        <v>25</v>
      </c>
      <c r="C195" t="str">
        <f t="shared" si="18"/>
        <v>022</v>
      </c>
      <c r="D195" t="s">
        <v>1959</v>
      </c>
      <c r="E195" t="s">
        <v>2047</v>
      </c>
      <c r="F195" t="s">
        <v>925</v>
      </c>
      <c r="G195" t="s">
        <v>2059</v>
      </c>
    </row>
    <row r="196" spans="1:7" x14ac:dyDescent="0.25">
      <c r="A196" t="str">
        <f t="shared" si="19"/>
        <v>2084S0010X</v>
      </c>
      <c r="B196" t="str">
        <f t="shared" si="17"/>
        <v>25</v>
      </c>
      <c r="C196" t="str">
        <f t="shared" si="18"/>
        <v>022</v>
      </c>
      <c r="D196" t="s">
        <v>1959</v>
      </c>
      <c r="E196" t="s">
        <v>2047</v>
      </c>
      <c r="F196" t="s">
        <v>927</v>
      </c>
      <c r="G196" t="s">
        <v>2060</v>
      </c>
    </row>
    <row r="197" spans="1:7" x14ac:dyDescent="0.25">
      <c r="A197" t="str">
        <f t="shared" si="19"/>
        <v>2084S0012X</v>
      </c>
      <c r="B197" t="str">
        <f t="shared" si="17"/>
        <v>25</v>
      </c>
      <c r="C197" t="str">
        <f t="shared" si="18"/>
        <v>022</v>
      </c>
      <c r="D197" t="s">
        <v>1959</v>
      </c>
      <c r="E197" t="s">
        <v>2047</v>
      </c>
      <c r="F197" t="s">
        <v>929</v>
      </c>
      <c r="G197" t="s">
        <v>2061</v>
      </c>
    </row>
    <row r="198" spans="1:7" x14ac:dyDescent="0.25">
      <c r="A198" t="str">
        <f t="shared" si="19"/>
        <v>2084V0102X</v>
      </c>
      <c r="B198" t="str">
        <f t="shared" si="17"/>
        <v>25</v>
      </c>
      <c r="C198" t="str">
        <f t="shared" si="18"/>
        <v>022</v>
      </c>
      <c r="D198" t="s">
        <v>1959</v>
      </c>
      <c r="E198" t="s">
        <v>2047</v>
      </c>
      <c r="F198" t="s">
        <v>931</v>
      </c>
      <c r="G198" t="s">
        <v>2062</v>
      </c>
    </row>
    <row r="199" spans="1:7" x14ac:dyDescent="0.25">
      <c r="A199" t="str">
        <f t="shared" si="19"/>
        <v>2084E0001X</v>
      </c>
      <c r="B199" t="str">
        <f t="shared" si="17"/>
        <v>25</v>
      </c>
      <c r="C199" t="str">
        <f>"023"</f>
        <v>023</v>
      </c>
      <c r="D199" t="s">
        <v>1959</v>
      </c>
      <c r="E199" t="s">
        <v>2063</v>
      </c>
      <c r="F199" t="s">
        <v>1964</v>
      </c>
      <c r="G199" t="s">
        <v>1965</v>
      </c>
    </row>
    <row r="200" spans="1:7" x14ac:dyDescent="0.25">
      <c r="A200" t="str">
        <f t="shared" si="19"/>
        <v>2084N0402X</v>
      </c>
      <c r="B200" t="str">
        <f t="shared" si="17"/>
        <v>25</v>
      </c>
      <c r="C200" t="str">
        <f>"023"</f>
        <v>023</v>
      </c>
      <c r="D200" t="s">
        <v>1959</v>
      </c>
      <c r="E200" t="s">
        <v>2063</v>
      </c>
      <c r="F200" t="s">
        <v>907</v>
      </c>
      <c r="G200" t="s">
        <v>2064</v>
      </c>
    </row>
    <row r="201" spans="1:7" x14ac:dyDescent="0.25">
      <c r="A201" t="str">
        <f t="shared" si="19"/>
        <v>2084P0005X</v>
      </c>
      <c r="B201" t="str">
        <f t="shared" si="17"/>
        <v>25</v>
      </c>
      <c r="C201" t="str">
        <f>"023"</f>
        <v>023</v>
      </c>
      <c r="D201" t="s">
        <v>1959</v>
      </c>
      <c r="E201" t="s">
        <v>2063</v>
      </c>
      <c r="F201" t="s">
        <v>911</v>
      </c>
      <c r="G201" t="s">
        <v>2055</v>
      </c>
    </row>
    <row r="202" spans="1:7" x14ac:dyDescent="0.25">
      <c r="A202" t="str">
        <f t="shared" si="19"/>
        <v>2084P0301X</v>
      </c>
      <c r="B202" t="str">
        <f t="shared" si="17"/>
        <v>25</v>
      </c>
      <c r="C202" t="str">
        <f>"023"</f>
        <v>023</v>
      </c>
      <c r="D202" t="s">
        <v>1959</v>
      </c>
      <c r="E202" t="s">
        <v>2063</v>
      </c>
      <c r="F202" t="s">
        <v>915</v>
      </c>
      <c r="G202" t="s">
        <v>2057</v>
      </c>
    </row>
    <row r="203" spans="1:7" x14ac:dyDescent="0.25">
      <c r="A203" t="str">
        <f t="shared" si="19"/>
        <v>207ZN0500X</v>
      </c>
      <c r="B203" t="str">
        <f t="shared" si="17"/>
        <v>25</v>
      </c>
      <c r="C203" t="str">
        <f>"024"</f>
        <v>024</v>
      </c>
      <c r="D203" t="s">
        <v>1959</v>
      </c>
      <c r="E203" t="s">
        <v>2065</v>
      </c>
      <c r="F203" t="s">
        <v>785</v>
      </c>
      <c r="G203" t="s">
        <v>2066</v>
      </c>
    </row>
    <row r="204" spans="1:7" x14ac:dyDescent="0.25">
      <c r="A204" t="str">
        <f t="shared" si="19"/>
        <v>2084E0001X</v>
      </c>
      <c r="B204" t="str">
        <f t="shared" si="17"/>
        <v>25</v>
      </c>
      <c r="C204" t="str">
        <f>"024"</f>
        <v>024</v>
      </c>
      <c r="D204" t="s">
        <v>1959</v>
      </c>
      <c r="E204" t="s">
        <v>2065</v>
      </c>
      <c r="F204" t="s">
        <v>1964</v>
      </c>
      <c r="G204" t="s">
        <v>1965</v>
      </c>
    </row>
    <row r="205" spans="1:7" x14ac:dyDescent="0.25">
      <c r="A205" t="str">
        <f t="shared" si="19"/>
        <v>207VX0000X</v>
      </c>
      <c r="B205" t="str">
        <f t="shared" si="17"/>
        <v>25</v>
      </c>
      <c r="C205" t="str">
        <f>"026"</f>
        <v>026</v>
      </c>
      <c r="D205" t="s">
        <v>1959</v>
      </c>
      <c r="E205" t="s">
        <v>2067</v>
      </c>
      <c r="F205" t="s">
        <v>715</v>
      </c>
      <c r="G205" t="s">
        <v>2068</v>
      </c>
    </row>
    <row r="206" spans="1:7" x14ac:dyDescent="0.25">
      <c r="A206" t="str">
        <f t="shared" si="19"/>
        <v>207V00000X</v>
      </c>
      <c r="B206" t="str">
        <f t="shared" si="17"/>
        <v>25</v>
      </c>
      <c r="C206" t="str">
        <f t="shared" ref="C206:C212" si="20">"027"</f>
        <v>027</v>
      </c>
      <c r="D206" t="s">
        <v>1959</v>
      </c>
      <c r="E206" t="s">
        <v>2069</v>
      </c>
      <c r="F206" t="s">
        <v>699</v>
      </c>
      <c r="G206" t="s">
        <v>2070</v>
      </c>
    </row>
    <row r="207" spans="1:7" x14ac:dyDescent="0.25">
      <c r="A207" t="str">
        <f t="shared" si="19"/>
        <v>207VB0002X</v>
      </c>
      <c r="B207" t="str">
        <f t="shared" si="17"/>
        <v>25</v>
      </c>
      <c r="C207" t="str">
        <f t="shared" si="20"/>
        <v>027</v>
      </c>
      <c r="D207" t="s">
        <v>1959</v>
      </c>
      <c r="E207" t="s">
        <v>2069</v>
      </c>
      <c r="F207" t="s">
        <v>701</v>
      </c>
      <c r="G207" t="s">
        <v>2071</v>
      </c>
    </row>
    <row r="208" spans="1:7" x14ac:dyDescent="0.25">
      <c r="A208" t="str">
        <f t="shared" si="19"/>
        <v>207VC0200X</v>
      </c>
      <c r="B208" t="str">
        <f t="shared" si="17"/>
        <v>25</v>
      </c>
      <c r="C208" t="str">
        <f t="shared" si="20"/>
        <v>027</v>
      </c>
      <c r="D208" t="s">
        <v>1959</v>
      </c>
      <c r="E208" t="s">
        <v>2069</v>
      </c>
      <c r="F208" t="s">
        <v>703</v>
      </c>
      <c r="G208" t="s">
        <v>2072</v>
      </c>
    </row>
    <row r="209" spans="1:7" x14ac:dyDescent="0.25">
      <c r="A209" t="str">
        <f t="shared" si="19"/>
        <v>207VC0300X</v>
      </c>
      <c r="B209" t="str">
        <f t="shared" si="17"/>
        <v>25</v>
      </c>
      <c r="C209" t="str">
        <f t="shared" si="20"/>
        <v>027</v>
      </c>
      <c r="D209" t="s">
        <v>1959</v>
      </c>
      <c r="E209" t="s">
        <v>2069</v>
      </c>
      <c r="F209" t="s">
        <v>2073</v>
      </c>
      <c r="G209" t="s">
        <v>2074</v>
      </c>
    </row>
    <row r="210" spans="1:7" x14ac:dyDescent="0.25">
      <c r="A210" t="str">
        <f t="shared" si="19"/>
        <v>207VE0102X</v>
      </c>
      <c r="B210" t="str">
        <f t="shared" si="17"/>
        <v>25</v>
      </c>
      <c r="C210" t="str">
        <f t="shared" si="20"/>
        <v>027</v>
      </c>
      <c r="D210" t="s">
        <v>1959</v>
      </c>
      <c r="E210" t="s">
        <v>2069</v>
      </c>
      <c r="F210" t="s">
        <v>705</v>
      </c>
      <c r="G210" t="s">
        <v>2075</v>
      </c>
    </row>
    <row r="211" spans="1:7" x14ac:dyDescent="0.25">
      <c r="A211" t="str">
        <f t="shared" si="19"/>
        <v>207VF0040X</v>
      </c>
      <c r="B211" t="str">
        <f t="shared" si="17"/>
        <v>25</v>
      </c>
      <c r="C211" t="str">
        <f t="shared" si="20"/>
        <v>027</v>
      </c>
      <c r="D211" t="s">
        <v>1959</v>
      </c>
      <c r="E211" t="s">
        <v>2069</v>
      </c>
      <c r="F211" t="s">
        <v>707</v>
      </c>
      <c r="G211" t="s">
        <v>2076</v>
      </c>
    </row>
    <row r="212" spans="1:7" x14ac:dyDescent="0.25">
      <c r="A212" t="str">
        <f t="shared" si="19"/>
        <v>207VH0002X</v>
      </c>
      <c r="B212" t="str">
        <f t="shared" si="17"/>
        <v>25</v>
      </c>
      <c r="C212" t="str">
        <f t="shared" si="20"/>
        <v>027</v>
      </c>
      <c r="D212" t="s">
        <v>1959</v>
      </c>
      <c r="E212" t="s">
        <v>2069</v>
      </c>
      <c r="F212" t="s">
        <v>711</v>
      </c>
      <c r="G212" t="s">
        <v>2077</v>
      </c>
    </row>
    <row r="213" spans="1:7" x14ac:dyDescent="0.25">
      <c r="A213" t="str">
        <f t="shared" si="19"/>
        <v>2083X0100X</v>
      </c>
      <c r="B213" t="str">
        <f t="shared" si="17"/>
        <v>25</v>
      </c>
      <c r="C213" t="str">
        <f>"028"</f>
        <v>028</v>
      </c>
      <c r="D213" t="s">
        <v>1959</v>
      </c>
      <c r="E213" t="s">
        <v>2078</v>
      </c>
      <c r="F213" t="s">
        <v>887</v>
      </c>
      <c r="G213" t="s">
        <v>2079</v>
      </c>
    </row>
    <row r="214" spans="1:7" x14ac:dyDescent="0.25">
      <c r="A214" t="str">
        <f t="shared" si="19"/>
        <v>207RX0202X</v>
      </c>
      <c r="B214" t="str">
        <f t="shared" si="17"/>
        <v>25</v>
      </c>
      <c r="C214" t="str">
        <f>"029"</f>
        <v>029</v>
      </c>
      <c r="D214" t="s">
        <v>1959</v>
      </c>
      <c r="E214" t="s">
        <v>2080</v>
      </c>
      <c r="F214" t="s">
        <v>675</v>
      </c>
      <c r="G214" t="s">
        <v>2081</v>
      </c>
    </row>
    <row r="215" spans="1:7" x14ac:dyDescent="0.25">
      <c r="A215" t="str">
        <f t="shared" si="19"/>
        <v>207W00000X</v>
      </c>
      <c r="B215" t="str">
        <f t="shared" si="17"/>
        <v>25</v>
      </c>
      <c r="C215" t="str">
        <f>"030"</f>
        <v>030</v>
      </c>
      <c r="D215" t="s">
        <v>1959</v>
      </c>
      <c r="E215" t="s">
        <v>2082</v>
      </c>
      <c r="F215" t="s">
        <v>719</v>
      </c>
      <c r="G215" t="s">
        <v>2082</v>
      </c>
    </row>
    <row r="216" spans="1:7" x14ac:dyDescent="0.25">
      <c r="A216" t="str">
        <f t="shared" si="19"/>
        <v>207WX0200X</v>
      </c>
      <c r="B216" t="str">
        <f t="shared" si="17"/>
        <v>25</v>
      </c>
      <c r="C216" t="str">
        <f>"030"</f>
        <v>030</v>
      </c>
      <c r="D216" t="s">
        <v>1959</v>
      </c>
      <c r="E216" t="s">
        <v>2082</v>
      </c>
      <c r="F216" t="s">
        <v>733</v>
      </c>
      <c r="G216" t="s">
        <v>2083</v>
      </c>
    </row>
    <row r="217" spans="1:7" x14ac:dyDescent="0.25">
      <c r="A217" t="str">
        <f t="shared" si="19"/>
        <v>207Y00000X</v>
      </c>
      <c r="B217" t="str">
        <f t="shared" si="17"/>
        <v>25</v>
      </c>
      <c r="C217" t="str">
        <f t="shared" ref="C217:C224" si="21">"031"</f>
        <v>031</v>
      </c>
      <c r="D217" t="s">
        <v>1959</v>
      </c>
      <c r="E217" t="s">
        <v>2084</v>
      </c>
      <c r="F217" t="s">
        <v>751</v>
      </c>
      <c r="G217" t="s">
        <v>2084</v>
      </c>
    </row>
    <row r="218" spans="1:7" x14ac:dyDescent="0.25">
      <c r="A218" t="str">
        <f t="shared" si="19"/>
        <v>207YP0228X</v>
      </c>
      <c r="B218" t="str">
        <f t="shared" si="17"/>
        <v>25</v>
      </c>
      <c r="C218" t="str">
        <f t="shared" si="21"/>
        <v>031</v>
      </c>
      <c r="D218" t="s">
        <v>1959</v>
      </c>
      <c r="E218" t="s">
        <v>2084</v>
      </c>
      <c r="F218" t="s">
        <v>753</v>
      </c>
      <c r="G218" t="s">
        <v>2085</v>
      </c>
    </row>
    <row r="219" spans="1:7" x14ac:dyDescent="0.25">
      <c r="A219" t="str">
        <f t="shared" si="19"/>
        <v>207YS0012X</v>
      </c>
      <c r="B219" t="str">
        <f t="shared" si="17"/>
        <v>25</v>
      </c>
      <c r="C219" t="str">
        <f t="shared" si="21"/>
        <v>031</v>
      </c>
      <c r="D219" t="s">
        <v>1959</v>
      </c>
      <c r="E219" t="s">
        <v>2084</v>
      </c>
      <c r="F219" t="s">
        <v>755</v>
      </c>
      <c r="G219" t="s">
        <v>2086</v>
      </c>
    </row>
    <row r="220" spans="1:7" x14ac:dyDescent="0.25">
      <c r="A220" t="str">
        <f t="shared" si="19"/>
        <v>207YS0123X</v>
      </c>
      <c r="B220" t="str">
        <f t="shared" si="17"/>
        <v>25</v>
      </c>
      <c r="C220" t="str">
        <f t="shared" si="21"/>
        <v>031</v>
      </c>
      <c r="D220" t="s">
        <v>1959</v>
      </c>
      <c r="E220" t="s">
        <v>2084</v>
      </c>
      <c r="F220" t="s">
        <v>757</v>
      </c>
      <c r="G220" t="s">
        <v>2087</v>
      </c>
    </row>
    <row r="221" spans="1:7" x14ac:dyDescent="0.25">
      <c r="A221" t="str">
        <f t="shared" si="19"/>
        <v>207YX0007X</v>
      </c>
      <c r="B221" t="str">
        <f t="shared" si="17"/>
        <v>25</v>
      </c>
      <c r="C221" t="str">
        <f t="shared" si="21"/>
        <v>031</v>
      </c>
      <c r="D221" t="s">
        <v>1959</v>
      </c>
      <c r="E221" t="s">
        <v>2084</v>
      </c>
      <c r="F221" t="s">
        <v>759</v>
      </c>
      <c r="G221" t="s">
        <v>2088</v>
      </c>
    </row>
    <row r="222" spans="1:7" x14ac:dyDescent="0.25">
      <c r="A222" t="str">
        <f t="shared" si="19"/>
        <v>207YX0602X</v>
      </c>
      <c r="B222" t="str">
        <f t="shared" si="17"/>
        <v>25</v>
      </c>
      <c r="C222" t="str">
        <f t="shared" si="21"/>
        <v>031</v>
      </c>
      <c r="D222" t="s">
        <v>1959</v>
      </c>
      <c r="E222" t="s">
        <v>2084</v>
      </c>
      <c r="F222" t="s">
        <v>761</v>
      </c>
      <c r="G222" t="s">
        <v>2089</v>
      </c>
    </row>
    <row r="223" spans="1:7" x14ac:dyDescent="0.25">
      <c r="A223" t="str">
        <f t="shared" si="19"/>
        <v>207YX0901X</v>
      </c>
      <c r="B223" t="str">
        <f t="shared" si="17"/>
        <v>25</v>
      </c>
      <c r="C223" t="str">
        <f t="shared" si="21"/>
        <v>031</v>
      </c>
      <c r="D223" t="s">
        <v>1959</v>
      </c>
      <c r="E223" t="s">
        <v>2084</v>
      </c>
      <c r="F223" t="s">
        <v>763</v>
      </c>
      <c r="G223" t="s">
        <v>2090</v>
      </c>
    </row>
    <row r="224" spans="1:7" x14ac:dyDescent="0.25">
      <c r="A224" t="str">
        <f t="shared" si="19"/>
        <v>207YX0905X</v>
      </c>
      <c r="B224" t="str">
        <f t="shared" si="17"/>
        <v>25</v>
      </c>
      <c r="C224" t="str">
        <f t="shared" si="21"/>
        <v>031</v>
      </c>
      <c r="D224" t="s">
        <v>1959</v>
      </c>
      <c r="E224" t="s">
        <v>2084</v>
      </c>
      <c r="F224" t="s">
        <v>765</v>
      </c>
      <c r="G224" t="s">
        <v>2091</v>
      </c>
    </row>
    <row r="225" spans="1:7" x14ac:dyDescent="0.25">
      <c r="A225" t="str">
        <f t="shared" si="19"/>
        <v>207SM0001X</v>
      </c>
      <c r="B225" t="str">
        <f t="shared" si="17"/>
        <v>25</v>
      </c>
      <c r="C225" t="str">
        <f t="shared" ref="C225:C238" si="22">"032"</f>
        <v>032</v>
      </c>
      <c r="D225" t="s">
        <v>1959</v>
      </c>
      <c r="E225" t="s">
        <v>2092</v>
      </c>
      <c r="F225" t="s">
        <v>687</v>
      </c>
      <c r="G225" t="s">
        <v>2093</v>
      </c>
    </row>
    <row r="226" spans="1:7" x14ac:dyDescent="0.25">
      <c r="A226" t="str">
        <f t="shared" si="19"/>
        <v>207ZB0001X</v>
      </c>
      <c r="B226" t="str">
        <f t="shared" si="17"/>
        <v>25</v>
      </c>
      <c r="C226" t="str">
        <f t="shared" si="22"/>
        <v>032</v>
      </c>
      <c r="D226" t="s">
        <v>1959</v>
      </c>
      <c r="E226" t="s">
        <v>2092</v>
      </c>
      <c r="F226" t="s">
        <v>767</v>
      </c>
      <c r="G226" t="s">
        <v>2094</v>
      </c>
    </row>
    <row r="227" spans="1:7" x14ac:dyDescent="0.25">
      <c r="A227" t="str">
        <f t="shared" si="19"/>
        <v>207ZC0006X</v>
      </c>
      <c r="B227" t="str">
        <f t="shared" si="17"/>
        <v>25</v>
      </c>
      <c r="C227" t="str">
        <f t="shared" si="22"/>
        <v>032</v>
      </c>
      <c r="D227" t="s">
        <v>1959</v>
      </c>
      <c r="E227" t="s">
        <v>2092</v>
      </c>
      <c r="F227" t="s">
        <v>769</v>
      </c>
      <c r="G227" t="s">
        <v>2095</v>
      </c>
    </row>
    <row r="228" spans="1:7" x14ac:dyDescent="0.25">
      <c r="A228" t="str">
        <f t="shared" si="19"/>
        <v>207ZC0008X</v>
      </c>
      <c r="B228" t="str">
        <f t="shared" si="17"/>
        <v>25</v>
      </c>
      <c r="C228" t="str">
        <f t="shared" si="22"/>
        <v>032</v>
      </c>
      <c r="D228" t="s">
        <v>1959</v>
      </c>
      <c r="E228" t="s">
        <v>2092</v>
      </c>
      <c r="F228" t="s">
        <v>771</v>
      </c>
      <c r="G228" t="s">
        <v>2096</v>
      </c>
    </row>
    <row r="229" spans="1:7" x14ac:dyDescent="0.25">
      <c r="A229" t="str">
        <f t="shared" si="19"/>
        <v>207ZC0500X</v>
      </c>
      <c r="B229" t="str">
        <f t="shared" si="17"/>
        <v>25</v>
      </c>
      <c r="C229" t="str">
        <f t="shared" si="22"/>
        <v>032</v>
      </c>
      <c r="D229" t="s">
        <v>1959</v>
      </c>
      <c r="E229" t="s">
        <v>2092</v>
      </c>
      <c r="F229" t="s">
        <v>773</v>
      </c>
      <c r="G229" t="s">
        <v>2097</v>
      </c>
    </row>
    <row r="230" spans="1:7" x14ac:dyDescent="0.25">
      <c r="A230" t="str">
        <f t="shared" si="19"/>
        <v>207ZD0900X</v>
      </c>
      <c r="B230" t="str">
        <f t="shared" si="17"/>
        <v>25</v>
      </c>
      <c r="C230" t="str">
        <f t="shared" si="22"/>
        <v>032</v>
      </c>
      <c r="D230" t="s">
        <v>1959</v>
      </c>
      <c r="E230" t="s">
        <v>2092</v>
      </c>
      <c r="F230" t="s">
        <v>775</v>
      </c>
      <c r="G230" t="s">
        <v>2098</v>
      </c>
    </row>
    <row r="231" spans="1:7" x14ac:dyDescent="0.25">
      <c r="A231" t="str">
        <f t="shared" si="19"/>
        <v>207ZI0100X</v>
      </c>
      <c r="B231" t="str">
        <f t="shared" si="17"/>
        <v>25</v>
      </c>
      <c r="C231" t="str">
        <f t="shared" si="22"/>
        <v>032</v>
      </c>
      <c r="D231" t="s">
        <v>1959</v>
      </c>
      <c r="E231" t="s">
        <v>2092</v>
      </c>
      <c r="F231" t="s">
        <v>781</v>
      </c>
      <c r="G231" t="s">
        <v>2099</v>
      </c>
    </row>
    <row r="232" spans="1:7" x14ac:dyDescent="0.25">
      <c r="A232" t="str">
        <f t="shared" si="19"/>
        <v>207ZM0300X</v>
      </c>
      <c r="B232" t="str">
        <f t="shared" si="17"/>
        <v>25</v>
      </c>
      <c r="C232" t="str">
        <f t="shared" si="22"/>
        <v>032</v>
      </c>
      <c r="D232" t="s">
        <v>1959</v>
      </c>
      <c r="E232" t="s">
        <v>2092</v>
      </c>
      <c r="F232" t="s">
        <v>783</v>
      </c>
      <c r="G232" t="s">
        <v>2100</v>
      </c>
    </row>
    <row r="233" spans="1:7" x14ac:dyDescent="0.25">
      <c r="A233" t="str">
        <f t="shared" si="19"/>
        <v>207ZP0007X</v>
      </c>
      <c r="B233" t="str">
        <f t="shared" si="17"/>
        <v>25</v>
      </c>
      <c r="C233" t="str">
        <f t="shared" si="22"/>
        <v>032</v>
      </c>
      <c r="D233" t="s">
        <v>1959</v>
      </c>
      <c r="E233" t="s">
        <v>2092</v>
      </c>
      <c r="F233" t="s">
        <v>787</v>
      </c>
      <c r="G233" t="s">
        <v>2101</v>
      </c>
    </row>
    <row r="234" spans="1:7" x14ac:dyDescent="0.25">
      <c r="A234" t="str">
        <f t="shared" si="19"/>
        <v>207ZP0101X</v>
      </c>
      <c r="B234" t="str">
        <f t="shared" ref="B234:B297" si="23">"25"</f>
        <v>25</v>
      </c>
      <c r="C234" t="str">
        <f t="shared" si="22"/>
        <v>032</v>
      </c>
      <c r="D234" t="s">
        <v>1959</v>
      </c>
      <c r="E234" t="s">
        <v>2092</v>
      </c>
      <c r="F234" t="s">
        <v>789</v>
      </c>
      <c r="G234" t="s">
        <v>2102</v>
      </c>
    </row>
    <row r="235" spans="1:7" x14ac:dyDescent="0.25">
      <c r="A235" t="str">
        <f t="shared" si="19"/>
        <v>207ZP0102X</v>
      </c>
      <c r="B235" t="str">
        <f t="shared" si="23"/>
        <v>25</v>
      </c>
      <c r="C235" t="str">
        <f t="shared" si="22"/>
        <v>032</v>
      </c>
      <c r="D235" t="s">
        <v>1959</v>
      </c>
      <c r="E235" t="s">
        <v>2092</v>
      </c>
      <c r="F235" t="s">
        <v>791</v>
      </c>
      <c r="G235" t="s">
        <v>2103</v>
      </c>
    </row>
    <row r="236" spans="1:7" x14ac:dyDescent="0.25">
      <c r="A236" t="str">
        <f t="shared" si="19"/>
        <v>207ZP0104X</v>
      </c>
      <c r="B236" t="str">
        <f t="shared" si="23"/>
        <v>25</v>
      </c>
      <c r="C236" t="str">
        <f t="shared" si="22"/>
        <v>032</v>
      </c>
      <c r="D236" t="s">
        <v>1959</v>
      </c>
      <c r="E236" t="s">
        <v>2092</v>
      </c>
      <c r="F236" t="s">
        <v>793</v>
      </c>
      <c r="G236" t="s">
        <v>2104</v>
      </c>
    </row>
    <row r="237" spans="1:7" x14ac:dyDescent="0.25">
      <c r="A237" t="str">
        <f t="shared" si="19"/>
        <v>207ZP0105X</v>
      </c>
      <c r="B237" t="str">
        <f t="shared" si="23"/>
        <v>25</v>
      </c>
      <c r="C237" t="str">
        <f t="shared" si="22"/>
        <v>032</v>
      </c>
      <c r="D237" t="s">
        <v>1959</v>
      </c>
      <c r="E237" t="s">
        <v>2092</v>
      </c>
      <c r="F237" t="s">
        <v>795</v>
      </c>
      <c r="G237" t="s">
        <v>2105</v>
      </c>
    </row>
    <row r="238" spans="1:7" x14ac:dyDescent="0.25">
      <c r="A238" t="str">
        <f t="shared" si="19"/>
        <v>207ZP0213X</v>
      </c>
      <c r="B238" t="str">
        <f t="shared" si="23"/>
        <v>25</v>
      </c>
      <c r="C238" t="str">
        <f t="shared" si="22"/>
        <v>032</v>
      </c>
      <c r="D238" t="s">
        <v>1959</v>
      </c>
      <c r="E238" t="s">
        <v>2092</v>
      </c>
      <c r="F238" t="s">
        <v>797</v>
      </c>
      <c r="G238" t="s">
        <v>2106</v>
      </c>
    </row>
    <row r="239" spans="1:7" x14ac:dyDescent="0.25">
      <c r="A239" t="str">
        <f t="shared" si="19"/>
        <v>207SM0001X</v>
      </c>
      <c r="B239" t="str">
        <f t="shared" si="23"/>
        <v>25</v>
      </c>
      <c r="C239" t="str">
        <f t="shared" ref="C239:C244" si="24">"033"</f>
        <v>033</v>
      </c>
      <c r="D239" t="s">
        <v>1959</v>
      </c>
      <c r="E239" t="s">
        <v>2107</v>
      </c>
      <c r="F239" t="s">
        <v>687</v>
      </c>
      <c r="G239" t="s">
        <v>2093</v>
      </c>
    </row>
    <row r="240" spans="1:7" x14ac:dyDescent="0.25">
      <c r="A240" t="str">
        <f t="shared" si="19"/>
        <v>207ZC0006X</v>
      </c>
      <c r="B240" t="str">
        <f t="shared" si="23"/>
        <v>25</v>
      </c>
      <c r="C240" t="str">
        <f t="shared" si="24"/>
        <v>033</v>
      </c>
      <c r="D240" t="s">
        <v>1959</v>
      </c>
      <c r="E240" t="s">
        <v>2107</v>
      </c>
      <c r="F240" t="s">
        <v>769</v>
      </c>
      <c r="G240" t="s">
        <v>2095</v>
      </c>
    </row>
    <row r="241" spans="1:7" x14ac:dyDescent="0.25">
      <c r="A241" t="str">
        <f t="shared" si="19"/>
        <v>207ZC0500X</v>
      </c>
      <c r="B241" t="str">
        <f t="shared" si="23"/>
        <v>25</v>
      </c>
      <c r="C241" t="str">
        <f t="shared" si="24"/>
        <v>033</v>
      </c>
      <c r="D241" t="s">
        <v>1959</v>
      </c>
      <c r="E241" t="s">
        <v>2107</v>
      </c>
      <c r="F241" t="s">
        <v>773</v>
      </c>
      <c r="G241" t="s">
        <v>2097</v>
      </c>
    </row>
    <row r="242" spans="1:7" x14ac:dyDescent="0.25">
      <c r="A242" t="str">
        <f t="shared" si="19"/>
        <v>207ZD0900X</v>
      </c>
      <c r="B242" t="str">
        <f t="shared" si="23"/>
        <v>25</v>
      </c>
      <c r="C242" t="str">
        <f t="shared" si="24"/>
        <v>033</v>
      </c>
      <c r="D242" t="s">
        <v>1959</v>
      </c>
      <c r="E242" t="s">
        <v>2107</v>
      </c>
      <c r="F242" t="s">
        <v>775</v>
      </c>
      <c r="G242" t="s">
        <v>2098</v>
      </c>
    </row>
    <row r="243" spans="1:7" x14ac:dyDescent="0.25">
      <c r="A243" t="str">
        <f t="shared" si="19"/>
        <v>207ZP0104X</v>
      </c>
      <c r="B243" t="str">
        <f t="shared" si="23"/>
        <v>25</v>
      </c>
      <c r="C243" t="str">
        <f t="shared" si="24"/>
        <v>033</v>
      </c>
      <c r="D243" t="s">
        <v>1959</v>
      </c>
      <c r="E243" t="s">
        <v>2107</v>
      </c>
      <c r="F243" t="s">
        <v>793</v>
      </c>
      <c r="G243" t="s">
        <v>2104</v>
      </c>
    </row>
    <row r="244" spans="1:7" x14ac:dyDescent="0.25">
      <c r="A244" t="str">
        <f t="shared" si="19"/>
        <v>207ZP0213X</v>
      </c>
      <c r="B244" t="str">
        <f t="shared" si="23"/>
        <v>25</v>
      </c>
      <c r="C244" t="str">
        <f t="shared" si="24"/>
        <v>033</v>
      </c>
      <c r="D244" t="s">
        <v>1959</v>
      </c>
      <c r="E244" t="s">
        <v>2107</v>
      </c>
      <c r="F244" t="s">
        <v>797</v>
      </c>
      <c r="G244" t="s">
        <v>2106</v>
      </c>
    </row>
    <row r="245" spans="1:7" x14ac:dyDescent="0.25">
      <c r="A245" t="str">
        <f t="shared" si="19"/>
        <v>207ZF0201X</v>
      </c>
      <c r="B245" t="str">
        <f t="shared" si="23"/>
        <v>25</v>
      </c>
      <c r="C245" t="str">
        <f>"034"</f>
        <v>034</v>
      </c>
      <c r="D245" t="s">
        <v>1959</v>
      </c>
      <c r="E245" t="s">
        <v>2108</v>
      </c>
      <c r="F245" t="s">
        <v>777</v>
      </c>
      <c r="G245" t="s">
        <v>2109</v>
      </c>
    </row>
    <row r="246" spans="1:7" x14ac:dyDescent="0.25">
      <c r="A246" t="str">
        <f t="shared" si="19"/>
        <v>208000000X</v>
      </c>
      <c r="B246" t="str">
        <f t="shared" si="23"/>
        <v>25</v>
      </c>
      <c r="C246" t="str">
        <f t="shared" ref="C246:C261" si="25">"035"</f>
        <v>035</v>
      </c>
      <c r="D246" t="s">
        <v>1959</v>
      </c>
      <c r="E246" t="s">
        <v>2110</v>
      </c>
      <c r="F246" t="s">
        <v>799</v>
      </c>
      <c r="G246" t="s">
        <v>2110</v>
      </c>
    </row>
    <row r="247" spans="1:7" x14ac:dyDescent="0.25">
      <c r="A247" t="str">
        <f t="shared" si="19"/>
        <v>2080B0002X</v>
      </c>
      <c r="B247" t="str">
        <f t="shared" si="23"/>
        <v>25</v>
      </c>
      <c r="C247" t="str">
        <f t="shared" si="25"/>
        <v>035</v>
      </c>
      <c r="D247" t="s">
        <v>1959</v>
      </c>
      <c r="E247" t="s">
        <v>2110</v>
      </c>
      <c r="F247" t="s">
        <v>803</v>
      </c>
      <c r="G247" t="s">
        <v>2111</v>
      </c>
    </row>
    <row r="248" spans="1:7" x14ac:dyDescent="0.25">
      <c r="A248" t="str">
        <f t="shared" si="19"/>
        <v>2080C0008X</v>
      </c>
      <c r="B248" t="str">
        <f t="shared" si="23"/>
        <v>25</v>
      </c>
      <c r="C248" t="str">
        <f t="shared" si="25"/>
        <v>035</v>
      </c>
      <c r="D248" t="s">
        <v>1959</v>
      </c>
      <c r="E248" t="s">
        <v>2110</v>
      </c>
      <c r="F248" t="s">
        <v>805</v>
      </c>
      <c r="G248" t="s">
        <v>2112</v>
      </c>
    </row>
    <row r="249" spans="1:7" x14ac:dyDescent="0.25">
      <c r="A249" t="str">
        <f t="shared" si="19"/>
        <v>2080I0007X</v>
      </c>
      <c r="B249" t="str">
        <f t="shared" si="23"/>
        <v>25</v>
      </c>
      <c r="C249" t="str">
        <f t="shared" si="25"/>
        <v>035</v>
      </c>
      <c r="D249" t="s">
        <v>1959</v>
      </c>
      <c r="E249" t="s">
        <v>2110</v>
      </c>
      <c r="F249" t="s">
        <v>809</v>
      </c>
      <c r="G249" t="s">
        <v>2113</v>
      </c>
    </row>
    <row r="250" spans="1:7" x14ac:dyDescent="0.25">
      <c r="A250" t="str">
        <f t="shared" si="19"/>
        <v>2080P0006X</v>
      </c>
      <c r="B250" t="str">
        <f t="shared" si="23"/>
        <v>25</v>
      </c>
      <c r="C250" t="str">
        <f t="shared" si="25"/>
        <v>035</v>
      </c>
      <c r="D250" t="s">
        <v>1959</v>
      </c>
      <c r="E250" t="s">
        <v>2110</v>
      </c>
      <c r="F250" t="s">
        <v>813</v>
      </c>
      <c r="G250" t="s">
        <v>2114</v>
      </c>
    </row>
    <row r="251" spans="1:7" x14ac:dyDescent="0.25">
      <c r="A251" t="str">
        <f t="shared" si="19"/>
        <v>2080P0008X</v>
      </c>
      <c r="B251" t="str">
        <f t="shared" si="23"/>
        <v>25</v>
      </c>
      <c r="C251" t="str">
        <f t="shared" si="25"/>
        <v>035</v>
      </c>
      <c r="D251" t="s">
        <v>1959</v>
      </c>
      <c r="E251" t="s">
        <v>2110</v>
      </c>
      <c r="F251" t="s">
        <v>815</v>
      </c>
      <c r="G251" t="s">
        <v>2115</v>
      </c>
    </row>
    <row r="252" spans="1:7" x14ac:dyDescent="0.25">
      <c r="A252" t="str">
        <f t="shared" si="19"/>
        <v>2080P0206X</v>
      </c>
      <c r="B252" t="str">
        <f t="shared" si="23"/>
        <v>25</v>
      </c>
      <c r="C252" t="str">
        <f t="shared" si="25"/>
        <v>035</v>
      </c>
      <c r="D252" t="s">
        <v>1959</v>
      </c>
      <c r="E252" t="s">
        <v>2110</v>
      </c>
      <c r="F252" t="s">
        <v>827</v>
      </c>
      <c r="G252" t="s">
        <v>2116</v>
      </c>
    </row>
    <row r="253" spans="1:7" x14ac:dyDescent="0.25">
      <c r="A253" t="str">
        <f t="shared" si="19"/>
        <v>2080P0208X</v>
      </c>
      <c r="B253" t="str">
        <f t="shared" si="23"/>
        <v>25</v>
      </c>
      <c r="C253" t="str">
        <f t="shared" si="25"/>
        <v>035</v>
      </c>
      <c r="D253" t="s">
        <v>1959</v>
      </c>
      <c r="E253" t="s">
        <v>2110</v>
      </c>
      <c r="F253" t="s">
        <v>831</v>
      </c>
      <c r="G253" t="s">
        <v>2117</v>
      </c>
    </row>
    <row r="254" spans="1:7" x14ac:dyDescent="0.25">
      <c r="A254" t="str">
        <f t="shared" si="19"/>
        <v>2080P0214X</v>
      </c>
      <c r="B254" t="str">
        <f t="shared" si="23"/>
        <v>25</v>
      </c>
      <c r="C254" t="str">
        <f t="shared" si="25"/>
        <v>035</v>
      </c>
      <c r="D254" t="s">
        <v>1959</v>
      </c>
      <c r="E254" t="s">
        <v>2110</v>
      </c>
      <c r="F254" t="s">
        <v>835</v>
      </c>
      <c r="G254" t="s">
        <v>2118</v>
      </c>
    </row>
    <row r="255" spans="1:7" x14ac:dyDescent="0.25">
      <c r="A255" t="str">
        <f t="shared" si="19"/>
        <v>2080P0216X</v>
      </c>
      <c r="B255" t="str">
        <f t="shared" si="23"/>
        <v>25</v>
      </c>
      <c r="C255" t="str">
        <f t="shared" si="25"/>
        <v>035</v>
      </c>
      <c r="D255" t="s">
        <v>1959</v>
      </c>
      <c r="E255" t="s">
        <v>2110</v>
      </c>
      <c r="F255" t="s">
        <v>837</v>
      </c>
      <c r="G255" t="s">
        <v>2119</v>
      </c>
    </row>
    <row r="256" spans="1:7" x14ac:dyDescent="0.25">
      <c r="A256" t="str">
        <f t="shared" si="19"/>
        <v>2080S0010X</v>
      </c>
      <c r="B256" t="str">
        <f t="shared" si="23"/>
        <v>25</v>
      </c>
      <c r="C256" t="str">
        <f t="shared" si="25"/>
        <v>035</v>
      </c>
      <c r="D256" t="s">
        <v>1959</v>
      </c>
      <c r="E256" t="s">
        <v>2110</v>
      </c>
      <c r="F256" t="s">
        <v>839</v>
      </c>
      <c r="G256" t="s">
        <v>2120</v>
      </c>
    </row>
    <row r="257" spans="1:7" x14ac:dyDescent="0.25">
      <c r="A257" t="str">
        <f t="shared" si="19"/>
        <v>2080S0012X</v>
      </c>
      <c r="B257" t="str">
        <f t="shared" si="23"/>
        <v>25</v>
      </c>
      <c r="C257" t="str">
        <f t="shared" si="25"/>
        <v>035</v>
      </c>
      <c r="D257" t="s">
        <v>1959</v>
      </c>
      <c r="E257" t="s">
        <v>2110</v>
      </c>
      <c r="F257" t="s">
        <v>841</v>
      </c>
      <c r="G257" t="s">
        <v>2121</v>
      </c>
    </row>
    <row r="258" spans="1:7" x14ac:dyDescent="0.25">
      <c r="A258" t="str">
        <f t="shared" si="19"/>
        <v>2080T0002X</v>
      </c>
      <c r="B258" t="str">
        <f t="shared" si="23"/>
        <v>25</v>
      </c>
      <c r="C258" t="str">
        <f t="shared" si="25"/>
        <v>035</v>
      </c>
      <c r="D258" t="s">
        <v>1959</v>
      </c>
      <c r="E258" t="s">
        <v>2110</v>
      </c>
      <c r="F258" t="s">
        <v>843</v>
      </c>
      <c r="G258" t="s">
        <v>2122</v>
      </c>
    </row>
    <row r="259" spans="1:7" x14ac:dyDescent="0.25">
      <c r="A259" t="str">
        <f t="shared" ref="A259:A322" si="26">CLEAN(F259)</f>
        <v>2080T0004X</v>
      </c>
      <c r="B259" t="str">
        <f t="shared" si="23"/>
        <v>25</v>
      </c>
      <c r="C259" t="str">
        <f t="shared" si="25"/>
        <v>035</v>
      </c>
      <c r="D259" t="s">
        <v>1959</v>
      </c>
      <c r="E259" t="s">
        <v>2110</v>
      </c>
      <c r="F259" t="s">
        <v>845</v>
      </c>
      <c r="G259" t="s">
        <v>2123</v>
      </c>
    </row>
    <row r="260" spans="1:7" x14ac:dyDescent="0.25">
      <c r="A260" t="str">
        <f t="shared" si="26"/>
        <v>2084E0001X</v>
      </c>
      <c r="B260" t="str">
        <f t="shared" si="23"/>
        <v>25</v>
      </c>
      <c r="C260" t="str">
        <f t="shared" si="25"/>
        <v>035</v>
      </c>
      <c r="D260" t="s">
        <v>1959</v>
      </c>
      <c r="E260" t="s">
        <v>2110</v>
      </c>
      <c r="F260" t="s">
        <v>1964</v>
      </c>
      <c r="G260" t="s">
        <v>1965</v>
      </c>
    </row>
    <row r="261" spans="1:7" x14ac:dyDescent="0.25">
      <c r="A261" t="str">
        <f t="shared" si="26"/>
        <v>2084P0005X</v>
      </c>
      <c r="B261" t="str">
        <f t="shared" si="23"/>
        <v>25</v>
      </c>
      <c r="C261" t="str">
        <f t="shared" si="25"/>
        <v>035</v>
      </c>
      <c r="D261" t="s">
        <v>1959</v>
      </c>
      <c r="E261" t="s">
        <v>2110</v>
      </c>
      <c r="F261" t="s">
        <v>911</v>
      </c>
      <c r="G261" t="s">
        <v>2055</v>
      </c>
    </row>
    <row r="262" spans="1:7" x14ac:dyDescent="0.25">
      <c r="A262" t="str">
        <f t="shared" si="26"/>
        <v>2080P0201X</v>
      </c>
      <c r="B262" t="str">
        <f t="shared" si="23"/>
        <v>25</v>
      </c>
      <c r="C262" t="str">
        <f>"036"</f>
        <v>036</v>
      </c>
      <c r="D262" t="s">
        <v>1959</v>
      </c>
      <c r="E262" t="s">
        <v>2124</v>
      </c>
      <c r="F262" t="s">
        <v>817</v>
      </c>
      <c r="G262" t="s">
        <v>2125</v>
      </c>
    </row>
    <row r="263" spans="1:7" x14ac:dyDescent="0.25">
      <c r="A263" t="str">
        <f t="shared" si="26"/>
        <v>2080P0202X</v>
      </c>
      <c r="B263" t="str">
        <f t="shared" si="23"/>
        <v>25</v>
      </c>
      <c r="C263" t="str">
        <f>"037"</f>
        <v>037</v>
      </c>
      <c r="D263" t="s">
        <v>1959</v>
      </c>
      <c r="E263" t="s">
        <v>2126</v>
      </c>
      <c r="F263" t="s">
        <v>819</v>
      </c>
      <c r="G263" t="s">
        <v>2127</v>
      </c>
    </row>
    <row r="264" spans="1:7" x14ac:dyDescent="0.25">
      <c r="A264" t="str">
        <f t="shared" si="26"/>
        <v>2080P0207X</v>
      </c>
      <c r="B264" t="str">
        <f t="shared" si="23"/>
        <v>25</v>
      </c>
      <c r="C264" t="str">
        <f>"038"</f>
        <v>038</v>
      </c>
      <c r="D264" t="s">
        <v>1959</v>
      </c>
      <c r="E264" t="s">
        <v>2128</v>
      </c>
      <c r="F264" t="s">
        <v>829</v>
      </c>
      <c r="G264" t="s">
        <v>2129</v>
      </c>
    </row>
    <row r="265" spans="1:7" x14ac:dyDescent="0.25">
      <c r="A265" t="str">
        <f t="shared" si="26"/>
        <v>2080P0210X</v>
      </c>
      <c r="B265" t="str">
        <f t="shared" si="23"/>
        <v>25</v>
      </c>
      <c r="C265" t="str">
        <f>"039"</f>
        <v>039</v>
      </c>
      <c r="D265" t="s">
        <v>1959</v>
      </c>
      <c r="E265" t="s">
        <v>2130</v>
      </c>
      <c r="F265" t="s">
        <v>833</v>
      </c>
      <c r="G265" t="s">
        <v>2131</v>
      </c>
    </row>
    <row r="266" spans="1:7" x14ac:dyDescent="0.25">
      <c r="A266" t="str">
        <f t="shared" si="26"/>
        <v>208100000X</v>
      </c>
      <c r="B266" t="str">
        <f t="shared" si="23"/>
        <v>25</v>
      </c>
      <c r="C266" t="str">
        <f t="shared" ref="C266:C273" si="27">"041"</f>
        <v>041</v>
      </c>
      <c r="D266" t="s">
        <v>1959</v>
      </c>
      <c r="E266" t="s">
        <v>2132</v>
      </c>
      <c r="F266" t="s">
        <v>847</v>
      </c>
      <c r="G266" t="s">
        <v>2133</v>
      </c>
    </row>
    <row r="267" spans="1:7" x14ac:dyDescent="0.25">
      <c r="A267" t="str">
        <f t="shared" si="26"/>
        <v>2081H0002X</v>
      </c>
      <c r="B267" t="str">
        <f t="shared" si="23"/>
        <v>25</v>
      </c>
      <c r="C267" t="str">
        <f t="shared" si="27"/>
        <v>041</v>
      </c>
      <c r="D267" t="s">
        <v>1959</v>
      </c>
      <c r="E267" t="s">
        <v>2132</v>
      </c>
      <c r="F267" t="s">
        <v>849</v>
      </c>
      <c r="G267" t="s">
        <v>2134</v>
      </c>
    </row>
    <row r="268" spans="1:7" x14ac:dyDescent="0.25">
      <c r="A268" t="str">
        <f t="shared" si="26"/>
        <v>2081N0008X</v>
      </c>
      <c r="B268" t="str">
        <f t="shared" si="23"/>
        <v>25</v>
      </c>
      <c r="C268" t="str">
        <f t="shared" si="27"/>
        <v>041</v>
      </c>
      <c r="D268" t="s">
        <v>1959</v>
      </c>
      <c r="E268" t="s">
        <v>2132</v>
      </c>
      <c r="F268" t="s">
        <v>851</v>
      </c>
      <c r="G268" t="s">
        <v>2135</v>
      </c>
    </row>
    <row r="269" spans="1:7" x14ac:dyDescent="0.25">
      <c r="A269" t="str">
        <f t="shared" si="26"/>
        <v>2081P0004X</v>
      </c>
      <c r="B269" t="str">
        <f t="shared" si="23"/>
        <v>25</v>
      </c>
      <c r="C269" t="str">
        <f t="shared" si="27"/>
        <v>041</v>
      </c>
      <c r="D269" t="s">
        <v>1959</v>
      </c>
      <c r="E269" t="s">
        <v>2132</v>
      </c>
      <c r="F269" t="s">
        <v>853</v>
      </c>
      <c r="G269" t="s">
        <v>2136</v>
      </c>
    </row>
    <row r="270" spans="1:7" x14ac:dyDescent="0.25">
      <c r="A270" t="str">
        <f t="shared" si="26"/>
        <v>2081P0010X</v>
      </c>
      <c r="B270" t="str">
        <f t="shared" si="23"/>
        <v>25</v>
      </c>
      <c r="C270" t="str">
        <f t="shared" si="27"/>
        <v>041</v>
      </c>
      <c r="D270" t="s">
        <v>1959</v>
      </c>
      <c r="E270" t="s">
        <v>2132</v>
      </c>
      <c r="F270" t="s">
        <v>855</v>
      </c>
      <c r="G270" t="s">
        <v>2137</v>
      </c>
    </row>
    <row r="271" spans="1:7" x14ac:dyDescent="0.25">
      <c r="A271" t="str">
        <f t="shared" si="26"/>
        <v>2081P0301X</v>
      </c>
      <c r="B271" t="str">
        <f t="shared" si="23"/>
        <v>25</v>
      </c>
      <c r="C271" t="str">
        <f t="shared" si="27"/>
        <v>041</v>
      </c>
      <c r="D271" t="s">
        <v>1959</v>
      </c>
      <c r="E271" t="s">
        <v>2132</v>
      </c>
      <c r="F271" t="s">
        <v>857</v>
      </c>
      <c r="G271" t="s">
        <v>2138</v>
      </c>
    </row>
    <row r="272" spans="1:7" x14ac:dyDescent="0.25">
      <c r="A272" t="str">
        <f t="shared" si="26"/>
        <v>2081P2900X</v>
      </c>
      <c r="B272" t="str">
        <f t="shared" si="23"/>
        <v>25</v>
      </c>
      <c r="C272" t="str">
        <f t="shared" si="27"/>
        <v>041</v>
      </c>
      <c r="D272" t="s">
        <v>1959</v>
      </c>
      <c r="E272" t="s">
        <v>2132</v>
      </c>
      <c r="F272" t="s">
        <v>859</v>
      </c>
      <c r="G272" t="s">
        <v>2139</v>
      </c>
    </row>
    <row r="273" spans="1:7" x14ac:dyDescent="0.25">
      <c r="A273" t="str">
        <f t="shared" si="26"/>
        <v>2081S0010X</v>
      </c>
      <c r="B273" t="str">
        <f t="shared" si="23"/>
        <v>25</v>
      </c>
      <c r="C273" t="str">
        <f t="shared" si="27"/>
        <v>041</v>
      </c>
      <c r="D273" t="s">
        <v>1959</v>
      </c>
      <c r="E273" t="s">
        <v>2132</v>
      </c>
      <c r="F273" t="s">
        <v>861</v>
      </c>
      <c r="G273" t="s">
        <v>2140</v>
      </c>
    </row>
    <row r="274" spans="1:7" x14ac:dyDescent="0.25">
      <c r="A274" t="str">
        <f t="shared" si="26"/>
        <v>207RA0401X</v>
      </c>
      <c r="B274" t="str">
        <f t="shared" si="23"/>
        <v>25</v>
      </c>
      <c r="C274" t="str">
        <f t="shared" ref="C274:C284" si="28">"042"</f>
        <v>042</v>
      </c>
      <c r="D274" t="s">
        <v>1959</v>
      </c>
      <c r="E274" t="s">
        <v>2141</v>
      </c>
      <c r="F274" t="s">
        <v>629</v>
      </c>
      <c r="G274" t="s">
        <v>2011</v>
      </c>
    </row>
    <row r="275" spans="1:7" x14ac:dyDescent="0.25">
      <c r="A275" t="str">
        <f t="shared" si="26"/>
        <v>2084B0002X</v>
      </c>
      <c r="B275" t="str">
        <f t="shared" si="23"/>
        <v>25</v>
      </c>
      <c r="C275" t="str">
        <f t="shared" si="28"/>
        <v>042</v>
      </c>
      <c r="D275" t="s">
        <v>1959</v>
      </c>
      <c r="E275" t="s">
        <v>2141</v>
      </c>
      <c r="F275" t="s">
        <v>893</v>
      </c>
      <c r="G275" t="s">
        <v>2048</v>
      </c>
    </row>
    <row r="276" spans="1:7" x14ac:dyDescent="0.25">
      <c r="A276" t="str">
        <f t="shared" si="26"/>
        <v>2084F0202X</v>
      </c>
      <c r="B276" t="str">
        <f t="shared" si="23"/>
        <v>25</v>
      </c>
      <c r="C276" t="str">
        <f t="shared" si="28"/>
        <v>042</v>
      </c>
      <c r="D276" t="s">
        <v>1959</v>
      </c>
      <c r="E276" t="s">
        <v>2141</v>
      </c>
      <c r="F276" t="s">
        <v>899</v>
      </c>
      <c r="G276" t="s">
        <v>2142</v>
      </c>
    </row>
    <row r="277" spans="1:7" x14ac:dyDescent="0.25">
      <c r="A277" t="str">
        <f t="shared" si="26"/>
        <v>2084H0002X</v>
      </c>
      <c r="B277" t="str">
        <f t="shared" si="23"/>
        <v>25</v>
      </c>
      <c r="C277" t="str">
        <f t="shared" si="28"/>
        <v>042</v>
      </c>
      <c r="D277" t="s">
        <v>1959</v>
      </c>
      <c r="E277" t="s">
        <v>2141</v>
      </c>
      <c r="F277" t="s">
        <v>901</v>
      </c>
      <c r="G277" t="s">
        <v>2051</v>
      </c>
    </row>
    <row r="278" spans="1:7" x14ac:dyDescent="0.25">
      <c r="A278" t="str">
        <f t="shared" si="26"/>
        <v>2084N0600X</v>
      </c>
      <c r="B278" t="str">
        <f t="shared" si="23"/>
        <v>25</v>
      </c>
      <c r="C278" t="str">
        <f t="shared" si="28"/>
        <v>042</v>
      </c>
      <c r="D278" t="s">
        <v>1959</v>
      </c>
      <c r="E278" t="s">
        <v>2141</v>
      </c>
      <c r="F278" t="s">
        <v>909</v>
      </c>
      <c r="G278" t="s">
        <v>2054</v>
      </c>
    </row>
    <row r="279" spans="1:7" x14ac:dyDescent="0.25">
      <c r="A279" t="str">
        <f t="shared" si="26"/>
        <v>2084P0015X</v>
      </c>
      <c r="B279" t="str">
        <f t="shared" si="23"/>
        <v>25</v>
      </c>
      <c r="C279" t="str">
        <f t="shared" si="28"/>
        <v>042</v>
      </c>
      <c r="D279" t="s">
        <v>1959</v>
      </c>
      <c r="E279" t="s">
        <v>2141</v>
      </c>
      <c r="F279" t="s">
        <v>913</v>
      </c>
      <c r="G279" t="s">
        <v>2056</v>
      </c>
    </row>
    <row r="280" spans="1:7" x14ac:dyDescent="0.25">
      <c r="A280" t="str">
        <f t="shared" si="26"/>
        <v>2084P0301X</v>
      </c>
      <c r="B280" t="str">
        <f t="shared" si="23"/>
        <v>25</v>
      </c>
      <c r="C280" t="str">
        <f t="shared" si="28"/>
        <v>042</v>
      </c>
      <c r="D280" t="s">
        <v>1959</v>
      </c>
      <c r="E280" t="s">
        <v>2141</v>
      </c>
      <c r="F280" t="s">
        <v>915</v>
      </c>
      <c r="G280" t="s">
        <v>2057</v>
      </c>
    </row>
    <row r="281" spans="1:7" x14ac:dyDescent="0.25">
      <c r="A281" t="str">
        <f t="shared" si="26"/>
        <v>2084P0800X</v>
      </c>
      <c r="B281" t="str">
        <f t="shared" si="23"/>
        <v>25</v>
      </c>
      <c r="C281" t="str">
        <f t="shared" si="28"/>
        <v>042</v>
      </c>
      <c r="D281" t="s">
        <v>1959</v>
      </c>
      <c r="E281" t="s">
        <v>2141</v>
      </c>
      <c r="F281" t="s">
        <v>917</v>
      </c>
      <c r="G281" t="s">
        <v>2143</v>
      </c>
    </row>
    <row r="282" spans="1:7" x14ac:dyDescent="0.25">
      <c r="A282" t="str">
        <f t="shared" si="26"/>
        <v>2084P0802X</v>
      </c>
      <c r="B282" t="str">
        <f t="shared" si="23"/>
        <v>25</v>
      </c>
      <c r="C282" t="str">
        <f t="shared" si="28"/>
        <v>042</v>
      </c>
      <c r="D282" t="s">
        <v>1959</v>
      </c>
      <c r="E282" t="s">
        <v>2141</v>
      </c>
      <c r="F282" t="s">
        <v>919</v>
      </c>
      <c r="G282" t="s">
        <v>2144</v>
      </c>
    </row>
    <row r="283" spans="1:7" x14ac:dyDescent="0.25">
      <c r="A283" t="str">
        <f t="shared" si="26"/>
        <v>2084P2900X</v>
      </c>
      <c r="B283" t="str">
        <f t="shared" si="23"/>
        <v>25</v>
      </c>
      <c r="C283" t="str">
        <f t="shared" si="28"/>
        <v>042</v>
      </c>
      <c r="D283" t="s">
        <v>1959</v>
      </c>
      <c r="E283" t="s">
        <v>2141</v>
      </c>
      <c r="F283" t="s">
        <v>925</v>
      </c>
      <c r="G283" t="s">
        <v>2059</v>
      </c>
    </row>
    <row r="284" spans="1:7" x14ac:dyDescent="0.25">
      <c r="A284" t="str">
        <f t="shared" si="26"/>
        <v>2084S0012X</v>
      </c>
      <c r="B284" t="str">
        <f t="shared" si="23"/>
        <v>25</v>
      </c>
      <c r="C284" t="str">
        <f t="shared" si="28"/>
        <v>042</v>
      </c>
      <c r="D284" t="s">
        <v>1959</v>
      </c>
      <c r="E284" t="s">
        <v>2141</v>
      </c>
      <c r="F284" t="s">
        <v>929</v>
      </c>
      <c r="G284" t="s">
        <v>2061</v>
      </c>
    </row>
    <row r="285" spans="1:7" x14ac:dyDescent="0.25">
      <c r="A285" t="str">
        <f t="shared" si="26"/>
        <v>2084P0301X</v>
      </c>
      <c r="B285" t="str">
        <f t="shared" si="23"/>
        <v>25</v>
      </c>
      <c r="C285" t="str">
        <f>"043"</f>
        <v>043</v>
      </c>
      <c r="D285" t="s">
        <v>1959</v>
      </c>
      <c r="E285" t="s">
        <v>2145</v>
      </c>
      <c r="F285" t="s">
        <v>915</v>
      </c>
      <c r="G285" t="s">
        <v>2057</v>
      </c>
    </row>
    <row r="286" spans="1:7" x14ac:dyDescent="0.25">
      <c r="A286" t="str">
        <f t="shared" si="26"/>
        <v>2084P0804X</v>
      </c>
      <c r="B286" t="str">
        <f t="shared" si="23"/>
        <v>25</v>
      </c>
      <c r="C286" t="str">
        <f>"043"</f>
        <v>043</v>
      </c>
      <c r="D286" t="s">
        <v>1959</v>
      </c>
      <c r="E286" t="s">
        <v>2145</v>
      </c>
      <c r="F286" t="s">
        <v>921</v>
      </c>
      <c r="G286" t="s">
        <v>2146</v>
      </c>
    </row>
    <row r="287" spans="1:7" x14ac:dyDescent="0.25">
      <c r="A287" t="str">
        <f t="shared" si="26"/>
        <v>2083P0901X</v>
      </c>
      <c r="B287" t="str">
        <f t="shared" si="23"/>
        <v>25</v>
      </c>
      <c r="C287" t="str">
        <f>"045"</f>
        <v>045</v>
      </c>
      <c r="D287" t="s">
        <v>1959</v>
      </c>
      <c r="E287" t="s">
        <v>2147</v>
      </c>
      <c r="F287" t="s">
        <v>881</v>
      </c>
      <c r="G287" t="s">
        <v>2017</v>
      </c>
    </row>
    <row r="288" spans="1:7" x14ac:dyDescent="0.25">
      <c r="A288" t="str">
        <f t="shared" si="26"/>
        <v>207RP1001X</v>
      </c>
      <c r="B288" t="str">
        <f t="shared" si="23"/>
        <v>25</v>
      </c>
      <c r="C288" t="str">
        <f>"046"</f>
        <v>046</v>
      </c>
      <c r="D288" t="s">
        <v>1959</v>
      </c>
      <c r="E288" t="s">
        <v>2148</v>
      </c>
      <c r="F288" t="s">
        <v>665</v>
      </c>
      <c r="G288" t="s">
        <v>2149</v>
      </c>
    </row>
    <row r="289" spans="1:7" x14ac:dyDescent="0.25">
      <c r="A289" t="str">
        <f t="shared" si="26"/>
        <v>2080P0214X</v>
      </c>
      <c r="B289" t="str">
        <f t="shared" si="23"/>
        <v>25</v>
      </c>
      <c r="C289" t="str">
        <f>"046"</f>
        <v>046</v>
      </c>
      <c r="D289" t="s">
        <v>1959</v>
      </c>
      <c r="E289" t="s">
        <v>2148</v>
      </c>
      <c r="F289" t="s">
        <v>835</v>
      </c>
      <c r="G289" t="s">
        <v>2118</v>
      </c>
    </row>
    <row r="290" spans="1:7" x14ac:dyDescent="0.25">
      <c r="A290" t="str">
        <f t="shared" si="26"/>
        <v>2085B0100X</v>
      </c>
      <c r="B290" t="str">
        <f t="shared" si="23"/>
        <v>25</v>
      </c>
      <c r="C290" t="str">
        <f>"047"</f>
        <v>047</v>
      </c>
      <c r="D290" t="s">
        <v>1959</v>
      </c>
      <c r="E290" t="s">
        <v>2150</v>
      </c>
      <c r="F290" t="s">
        <v>933</v>
      </c>
      <c r="G290" t="s">
        <v>2151</v>
      </c>
    </row>
    <row r="291" spans="1:7" x14ac:dyDescent="0.25">
      <c r="A291" t="str">
        <f t="shared" si="26"/>
        <v>2085D0003X</v>
      </c>
      <c r="B291" t="str">
        <f t="shared" si="23"/>
        <v>25</v>
      </c>
      <c r="C291" t="str">
        <f>"047"</f>
        <v>047</v>
      </c>
      <c r="D291" t="s">
        <v>1959</v>
      </c>
      <c r="E291" t="s">
        <v>2150</v>
      </c>
      <c r="F291" t="s">
        <v>935</v>
      </c>
      <c r="G291" t="s">
        <v>2152</v>
      </c>
    </row>
    <row r="292" spans="1:7" x14ac:dyDescent="0.25">
      <c r="A292" t="str">
        <f t="shared" si="26"/>
        <v>207U00000X</v>
      </c>
      <c r="B292" t="str">
        <f t="shared" si="23"/>
        <v>25</v>
      </c>
      <c r="C292" t="str">
        <f t="shared" ref="C292:C299" si="29">"048"</f>
        <v>048</v>
      </c>
      <c r="D292" t="s">
        <v>1959</v>
      </c>
      <c r="E292" t="s">
        <v>2153</v>
      </c>
      <c r="F292" t="s">
        <v>691</v>
      </c>
      <c r="G292" t="s">
        <v>2154</v>
      </c>
    </row>
    <row r="293" spans="1:7" x14ac:dyDescent="0.25">
      <c r="A293" t="str">
        <f t="shared" si="26"/>
        <v>207UN0901X</v>
      </c>
      <c r="B293" t="str">
        <f t="shared" si="23"/>
        <v>25</v>
      </c>
      <c r="C293" t="str">
        <f t="shared" si="29"/>
        <v>048</v>
      </c>
      <c r="D293" t="s">
        <v>1959</v>
      </c>
      <c r="E293" t="s">
        <v>2153</v>
      </c>
      <c r="F293" t="s">
        <v>693</v>
      </c>
      <c r="G293" t="s">
        <v>2155</v>
      </c>
    </row>
    <row r="294" spans="1:7" x14ac:dyDescent="0.25">
      <c r="A294" t="str">
        <f t="shared" si="26"/>
        <v>207UN0903X</v>
      </c>
      <c r="B294" t="str">
        <f t="shared" si="23"/>
        <v>25</v>
      </c>
      <c r="C294" t="str">
        <f t="shared" si="29"/>
        <v>048</v>
      </c>
      <c r="D294" t="s">
        <v>1959</v>
      </c>
      <c r="E294" t="s">
        <v>2153</v>
      </c>
      <c r="F294" t="s">
        <v>697</v>
      </c>
      <c r="G294" t="s">
        <v>2156</v>
      </c>
    </row>
    <row r="295" spans="1:7" x14ac:dyDescent="0.25">
      <c r="A295" t="str">
        <f t="shared" si="26"/>
        <v>2085N0700X</v>
      </c>
      <c r="B295" t="str">
        <f t="shared" si="23"/>
        <v>25</v>
      </c>
      <c r="C295" t="str">
        <f t="shared" si="29"/>
        <v>048</v>
      </c>
      <c r="D295" t="s">
        <v>1959</v>
      </c>
      <c r="E295" t="s">
        <v>2153</v>
      </c>
      <c r="F295" t="s">
        <v>939</v>
      </c>
      <c r="G295" t="s">
        <v>2157</v>
      </c>
    </row>
    <row r="296" spans="1:7" x14ac:dyDescent="0.25">
      <c r="A296" t="str">
        <f t="shared" si="26"/>
        <v>2085N0904X</v>
      </c>
      <c r="B296" t="str">
        <f t="shared" si="23"/>
        <v>25</v>
      </c>
      <c r="C296" t="str">
        <f t="shared" si="29"/>
        <v>048</v>
      </c>
      <c r="D296" t="s">
        <v>1959</v>
      </c>
      <c r="E296" t="s">
        <v>2153</v>
      </c>
      <c r="F296" t="s">
        <v>941</v>
      </c>
      <c r="G296" t="s">
        <v>2158</v>
      </c>
    </row>
    <row r="297" spans="1:7" x14ac:dyDescent="0.25">
      <c r="A297" t="str">
        <f t="shared" si="26"/>
        <v>2085R0202X</v>
      </c>
      <c r="B297" t="str">
        <f t="shared" si="23"/>
        <v>25</v>
      </c>
      <c r="C297" t="str">
        <f t="shared" si="29"/>
        <v>048</v>
      </c>
      <c r="D297" t="s">
        <v>1959</v>
      </c>
      <c r="E297" t="s">
        <v>2153</v>
      </c>
      <c r="F297" t="s">
        <v>947</v>
      </c>
      <c r="G297" t="s">
        <v>2159</v>
      </c>
    </row>
    <row r="298" spans="1:7" x14ac:dyDescent="0.25">
      <c r="A298" t="str">
        <f t="shared" si="26"/>
        <v>2085R0204X</v>
      </c>
      <c r="B298" t="str">
        <f t="shared" ref="B298:B360" si="30">"25"</f>
        <v>25</v>
      </c>
      <c r="C298" t="str">
        <f t="shared" si="29"/>
        <v>048</v>
      </c>
      <c r="D298" t="s">
        <v>1959</v>
      </c>
      <c r="E298" t="s">
        <v>2153</v>
      </c>
      <c r="F298" t="s">
        <v>951</v>
      </c>
      <c r="G298" t="s">
        <v>2160</v>
      </c>
    </row>
    <row r="299" spans="1:7" x14ac:dyDescent="0.25">
      <c r="A299" t="str">
        <f t="shared" si="26"/>
        <v>2085R0205X</v>
      </c>
      <c r="B299" t="str">
        <f t="shared" si="30"/>
        <v>25</v>
      </c>
      <c r="C299" t="str">
        <f t="shared" si="29"/>
        <v>048</v>
      </c>
      <c r="D299" t="s">
        <v>1959</v>
      </c>
      <c r="E299" t="s">
        <v>2153</v>
      </c>
      <c r="F299" t="s">
        <v>953</v>
      </c>
      <c r="G299" t="s">
        <v>2161</v>
      </c>
    </row>
    <row r="300" spans="1:7" x14ac:dyDescent="0.25">
      <c r="A300" t="str">
        <f t="shared" si="26"/>
        <v>2085P0229X</v>
      </c>
      <c r="B300" t="str">
        <f t="shared" si="30"/>
        <v>25</v>
      </c>
      <c r="C300" t="str">
        <f>"049"</f>
        <v>049</v>
      </c>
      <c r="D300" t="s">
        <v>1959</v>
      </c>
      <c r="E300" t="s">
        <v>2162</v>
      </c>
      <c r="F300" t="s">
        <v>943</v>
      </c>
      <c r="G300" t="s">
        <v>2163</v>
      </c>
    </row>
    <row r="301" spans="1:7" x14ac:dyDescent="0.25">
      <c r="A301" t="str">
        <f t="shared" si="26"/>
        <v>207UN0902X</v>
      </c>
      <c r="B301" t="str">
        <f t="shared" si="30"/>
        <v>25</v>
      </c>
      <c r="C301" t="str">
        <f t="shared" ref="C301:C308" si="31">"050"</f>
        <v>050</v>
      </c>
      <c r="D301" t="s">
        <v>1959</v>
      </c>
      <c r="E301" t="s">
        <v>2164</v>
      </c>
      <c r="F301" t="s">
        <v>695</v>
      </c>
      <c r="G301" t="s">
        <v>2165</v>
      </c>
    </row>
    <row r="302" spans="1:7" x14ac:dyDescent="0.25">
      <c r="A302" t="str">
        <f t="shared" si="26"/>
        <v>2085H0002X</v>
      </c>
      <c r="B302" t="str">
        <f t="shared" si="30"/>
        <v>25</v>
      </c>
      <c r="C302" t="str">
        <f t="shared" si="31"/>
        <v>050</v>
      </c>
      <c r="D302" t="s">
        <v>1959</v>
      </c>
      <c r="E302" t="s">
        <v>2164</v>
      </c>
      <c r="F302" t="s">
        <v>937</v>
      </c>
      <c r="G302" t="s">
        <v>2166</v>
      </c>
    </row>
    <row r="303" spans="1:7" x14ac:dyDescent="0.25">
      <c r="A303" t="str">
        <f t="shared" si="26"/>
        <v>2085N0700X</v>
      </c>
      <c r="B303" t="str">
        <f t="shared" si="30"/>
        <v>25</v>
      </c>
      <c r="C303" t="str">
        <f t="shared" si="31"/>
        <v>050</v>
      </c>
      <c r="D303" t="s">
        <v>1959</v>
      </c>
      <c r="E303" t="s">
        <v>2164</v>
      </c>
      <c r="F303" t="s">
        <v>939</v>
      </c>
      <c r="G303" t="s">
        <v>2157</v>
      </c>
    </row>
    <row r="304" spans="1:7" x14ac:dyDescent="0.25">
      <c r="A304" t="str">
        <f t="shared" si="26"/>
        <v>2085N0904X</v>
      </c>
      <c r="B304" t="str">
        <f t="shared" si="30"/>
        <v>25</v>
      </c>
      <c r="C304" t="str">
        <f t="shared" si="31"/>
        <v>050</v>
      </c>
      <c r="D304" t="s">
        <v>1959</v>
      </c>
      <c r="E304" t="s">
        <v>2164</v>
      </c>
      <c r="F304" t="s">
        <v>941</v>
      </c>
      <c r="G304" t="s">
        <v>2158</v>
      </c>
    </row>
    <row r="305" spans="1:7" x14ac:dyDescent="0.25">
      <c r="A305" t="str">
        <f t="shared" si="26"/>
        <v>2085R0001X</v>
      </c>
      <c r="B305" t="str">
        <f t="shared" si="30"/>
        <v>25</v>
      </c>
      <c r="C305" t="str">
        <f t="shared" si="31"/>
        <v>050</v>
      </c>
      <c r="D305" t="s">
        <v>1959</v>
      </c>
      <c r="E305" t="s">
        <v>2164</v>
      </c>
      <c r="F305" t="s">
        <v>945</v>
      </c>
      <c r="G305" t="s">
        <v>2167</v>
      </c>
    </row>
    <row r="306" spans="1:7" x14ac:dyDescent="0.25">
      <c r="A306" t="str">
        <f t="shared" si="26"/>
        <v>2085R0203X</v>
      </c>
      <c r="B306" t="str">
        <f t="shared" si="30"/>
        <v>25</v>
      </c>
      <c r="C306" t="str">
        <f t="shared" si="31"/>
        <v>050</v>
      </c>
      <c r="D306" t="s">
        <v>1959</v>
      </c>
      <c r="E306" t="s">
        <v>2164</v>
      </c>
      <c r="F306" t="s">
        <v>949</v>
      </c>
      <c r="G306" t="s">
        <v>2168</v>
      </c>
    </row>
    <row r="307" spans="1:7" x14ac:dyDescent="0.25">
      <c r="A307" t="str">
        <f t="shared" si="26"/>
        <v>2085R0204X</v>
      </c>
      <c r="B307" t="str">
        <f t="shared" si="30"/>
        <v>25</v>
      </c>
      <c r="C307" t="str">
        <f t="shared" si="31"/>
        <v>050</v>
      </c>
      <c r="D307" t="s">
        <v>1959</v>
      </c>
      <c r="E307" t="s">
        <v>2164</v>
      </c>
      <c r="F307" t="s">
        <v>951</v>
      </c>
      <c r="G307" t="s">
        <v>2160</v>
      </c>
    </row>
    <row r="308" spans="1:7" x14ac:dyDescent="0.25">
      <c r="A308" t="str">
        <f t="shared" si="26"/>
        <v>2085R0205X</v>
      </c>
      <c r="B308" t="str">
        <f t="shared" si="30"/>
        <v>25</v>
      </c>
      <c r="C308" t="str">
        <f t="shared" si="31"/>
        <v>050</v>
      </c>
      <c r="D308" t="s">
        <v>1959</v>
      </c>
      <c r="E308" t="s">
        <v>2164</v>
      </c>
      <c r="F308" t="s">
        <v>953</v>
      </c>
      <c r="G308" t="s">
        <v>2161</v>
      </c>
    </row>
    <row r="309" spans="1:7" x14ac:dyDescent="0.25">
      <c r="A309" t="str">
        <f t="shared" si="26"/>
        <v>207RR0500X</v>
      </c>
      <c r="B309" t="str">
        <f t="shared" si="30"/>
        <v>25</v>
      </c>
      <c r="C309" t="str">
        <f>"051"</f>
        <v>051</v>
      </c>
      <c r="D309" t="s">
        <v>1959</v>
      </c>
      <c r="E309" t="s">
        <v>2169</v>
      </c>
      <c r="F309" t="s">
        <v>667</v>
      </c>
      <c r="G309" t="s">
        <v>2170</v>
      </c>
    </row>
    <row r="310" spans="1:7" x14ac:dyDescent="0.25">
      <c r="A310" t="str">
        <f t="shared" si="26"/>
        <v>208600000X</v>
      </c>
      <c r="B310" t="str">
        <f t="shared" si="30"/>
        <v>25</v>
      </c>
      <c r="C310" t="str">
        <f>"052"</f>
        <v>052</v>
      </c>
      <c r="D310" t="s">
        <v>1959</v>
      </c>
      <c r="E310" t="s">
        <v>2171</v>
      </c>
      <c r="F310" t="s">
        <v>957</v>
      </c>
      <c r="G310" t="s">
        <v>2172</v>
      </c>
    </row>
    <row r="311" spans="1:7" x14ac:dyDescent="0.25">
      <c r="A311" t="str">
        <f t="shared" si="26"/>
        <v>2086S0129X</v>
      </c>
      <c r="B311" t="str">
        <f t="shared" si="30"/>
        <v>25</v>
      </c>
      <c r="C311" t="str">
        <f>"053"</f>
        <v>053</v>
      </c>
      <c r="D311" t="s">
        <v>1959</v>
      </c>
      <c r="E311" t="s">
        <v>2173</v>
      </c>
      <c r="F311" t="s">
        <v>971</v>
      </c>
      <c r="G311" t="s">
        <v>2174</v>
      </c>
    </row>
    <row r="312" spans="1:7" x14ac:dyDescent="0.25">
      <c r="A312" t="str">
        <f t="shared" si="26"/>
        <v>208C00000X</v>
      </c>
      <c r="B312" t="str">
        <f t="shared" si="30"/>
        <v>25</v>
      </c>
      <c r="C312" t="str">
        <f>"054"</f>
        <v>054</v>
      </c>
      <c r="D312" t="s">
        <v>1959</v>
      </c>
      <c r="E312" t="s">
        <v>2175</v>
      </c>
      <c r="F312" t="s">
        <v>981</v>
      </c>
      <c r="G312" t="s">
        <v>2176</v>
      </c>
    </row>
    <row r="313" spans="1:7" x14ac:dyDescent="0.25">
      <c r="A313" t="str">
        <f t="shared" si="26"/>
        <v>204E00000X</v>
      </c>
      <c r="B313" t="str">
        <f t="shared" si="30"/>
        <v>25</v>
      </c>
      <c r="C313" t="str">
        <f t="shared" ref="C313:C318" si="32">"055"</f>
        <v>055</v>
      </c>
      <c r="D313" t="s">
        <v>1959</v>
      </c>
      <c r="E313" t="s">
        <v>2177</v>
      </c>
      <c r="F313" t="s">
        <v>551</v>
      </c>
      <c r="G313" t="s">
        <v>2178</v>
      </c>
    </row>
    <row r="314" spans="1:7" x14ac:dyDescent="0.25">
      <c r="A314" t="str">
        <f t="shared" si="26"/>
        <v>208600000X</v>
      </c>
      <c r="B314" t="str">
        <f t="shared" si="30"/>
        <v>25</v>
      </c>
      <c r="C314" t="str">
        <f t="shared" si="32"/>
        <v>055</v>
      </c>
      <c r="D314" t="s">
        <v>1959</v>
      </c>
      <c r="E314" t="s">
        <v>2177</v>
      </c>
      <c r="F314" t="s">
        <v>957</v>
      </c>
      <c r="G314" t="s">
        <v>2172</v>
      </c>
    </row>
    <row r="315" spans="1:7" x14ac:dyDescent="0.25">
      <c r="A315" t="str">
        <f t="shared" si="26"/>
        <v>2086H0002X</v>
      </c>
      <c r="B315" t="str">
        <f t="shared" si="30"/>
        <v>25</v>
      </c>
      <c r="C315" t="str">
        <f t="shared" si="32"/>
        <v>055</v>
      </c>
      <c r="D315" t="s">
        <v>1959</v>
      </c>
      <c r="E315" t="s">
        <v>2177</v>
      </c>
      <c r="F315" t="s">
        <v>959</v>
      </c>
      <c r="G315" t="s">
        <v>2179</v>
      </c>
    </row>
    <row r="316" spans="1:7" x14ac:dyDescent="0.25">
      <c r="A316" t="str">
        <f t="shared" si="26"/>
        <v>2086S0102X</v>
      </c>
      <c r="B316" t="str">
        <f t="shared" si="30"/>
        <v>25</v>
      </c>
      <c r="C316" t="str">
        <f t="shared" si="32"/>
        <v>055</v>
      </c>
      <c r="D316" t="s">
        <v>1959</v>
      </c>
      <c r="E316" t="s">
        <v>2177</v>
      </c>
      <c r="F316" t="s">
        <v>961</v>
      </c>
      <c r="G316" t="s">
        <v>2180</v>
      </c>
    </row>
    <row r="317" spans="1:7" x14ac:dyDescent="0.25">
      <c r="A317" t="str">
        <f t="shared" si="26"/>
        <v>2086S0129X</v>
      </c>
      <c r="B317" t="str">
        <f t="shared" si="30"/>
        <v>25</v>
      </c>
      <c r="C317" t="str">
        <f t="shared" si="32"/>
        <v>055</v>
      </c>
      <c r="D317" t="s">
        <v>1959</v>
      </c>
      <c r="E317" t="s">
        <v>2177</v>
      </c>
      <c r="F317" t="s">
        <v>971</v>
      </c>
      <c r="G317" t="s">
        <v>2174</v>
      </c>
    </row>
    <row r="318" spans="1:7" x14ac:dyDescent="0.25">
      <c r="A318" t="str">
        <f t="shared" si="26"/>
        <v>2086X0206X</v>
      </c>
      <c r="B318" t="str">
        <f t="shared" si="30"/>
        <v>25</v>
      </c>
      <c r="C318" t="str">
        <f t="shared" si="32"/>
        <v>055</v>
      </c>
      <c r="D318" t="s">
        <v>1959</v>
      </c>
      <c r="E318" t="s">
        <v>2177</v>
      </c>
      <c r="F318" t="s">
        <v>973</v>
      </c>
      <c r="G318" t="s">
        <v>2181</v>
      </c>
    </row>
    <row r="319" spans="1:7" x14ac:dyDescent="0.25">
      <c r="A319" t="str">
        <f t="shared" si="26"/>
        <v>207XS0106X</v>
      </c>
      <c r="B319" t="str">
        <f t="shared" si="30"/>
        <v>25</v>
      </c>
      <c r="C319" t="str">
        <f>"056"</f>
        <v>056</v>
      </c>
      <c r="D319" t="s">
        <v>1959</v>
      </c>
      <c r="E319" t="s">
        <v>2182</v>
      </c>
      <c r="F319" t="s">
        <v>739</v>
      </c>
      <c r="G319" t="s">
        <v>2183</v>
      </c>
    </row>
    <row r="320" spans="1:7" x14ac:dyDescent="0.25">
      <c r="A320" t="str">
        <f t="shared" si="26"/>
        <v>2082S0105X</v>
      </c>
      <c r="B320" t="str">
        <f t="shared" si="30"/>
        <v>25</v>
      </c>
      <c r="C320" t="str">
        <f>"056"</f>
        <v>056</v>
      </c>
      <c r="D320" t="s">
        <v>1959</v>
      </c>
      <c r="E320" t="s">
        <v>2182</v>
      </c>
      <c r="F320" t="s">
        <v>867</v>
      </c>
      <c r="G320" t="s">
        <v>2184</v>
      </c>
    </row>
    <row r="321" spans="1:7" x14ac:dyDescent="0.25">
      <c r="A321" t="str">
        <f t="shared" si="26"/>
        <v>2086S0105X</v>
      </c>
      <c r="B321" t="str">
        <f t="shared" si="30"/>
        <v>25</v>
      </c>
      <c r="C321" t="str">
        <f>"056"</f>
        <v>056</v>
      </c>
      <c r="D321" t="s">
        <v>1959</v>
      </c>
      <c r="E321" t="s">
        <v>2182</v>
      </c>
      <c r="F321" t="s">
        <v>963</v>
      </c>
      <c r="G321" t="s">
        <v>2185</v>
      </c>
    </row>
    <row r="322" spans="1:7" x14ac:dyDescent="0.25">
      <c r="A322" t="str">
        <f t="shared" si="26"/>
        <v>207T00000X</v>
      </c>
      <c r="B322" t="str">
        <f t="shared" si="30"/>
        <v>25</v>
      </c>
      <c r="C322" t="str">
        <f>"057"</f>
        <v>057</v>
      </c>
      <c r="D322" t="s">
        <v>1959</v>
      </c>
      <c r="E322" t="s">
        <v>2186</v>
      </c>
      <c r="F322" t="s">
        <v>689</v>
      </c>
      <c r="G322" t="s">
        <v>2187</v>
      </c>
    </row>
    <row r="323" spans="1:7" x14ac:dyDescent="0.25">
      <c r="A323" t="str">
        <f t="shared" ref="A323:A386" si="33">CLEAN(F323)</f>
        <v>2084E0001X</v>
      </c>
      <c r="B323" t="str">
        <f t="shared" si="30"/>
        <v>25</v>
      </c>
      <c r="C323" t="str">
        <f>"057"</f>
        <v>057</v>
      </c>
      <c r="D323" t="s">
        <v>1959</v>
      </c>
      <c r="E323" t="s">
        <v>2186</v>
      </c>
      <c r="F323" t="s">
        <v>1964</v>
      </c>
      <c r="G323" t="s">
        <v>1965</v>
      </c>
    </row>
    <row r="324" spans="1:7" x14ac:dyDescent="0.25">
      <c r="A324" t="str">
        <f t="shared" si="33"/>
        <v>207X00000X</v>
      </c>
      <c r="B324" t="str">
        <f t="shared" si="30"/>
        <v>25</v>
      </c>
      <c r="C324" t="str">
        <f t="shared" ref="C324:C330" si="34">"058"</f>
        <v>058</v>
      </c>
      <c r="D324" t="s">
        <v>1959</v>
      </c>
      <c r="E324" t="s">
        <v>2188</v>
      </c>
      <c r="F324" t="s">
        <v>735</v>
      </c>
      <c r="G324" t="s">
        <v>2189</v>
      </c>
    </row>
    <row r="325" spans="1:7" x14ac:dyDescent="0.25">
      <c r="A325" t="str">
        <f t="shared" si="33"/>
        <v>207XP3100X</v>
      </c>
      <c r="B325" t="str">
        <f t="shared" si="30"/>
        <v>25</v>
      </c>
      <c r="C325" t="str">
        <f t="shared" si="34"/>
        <v>058</v>
      </c>
      <c r="D325" t="s">
        <v>1959</v>
      </c>
      <c r="E325" t="s">
        <v>2188</v>
      </c>
      <c r="F325" t="s">
        <v>737</v>
      </c>
      <c r="G325" t="s">
        <v>2190</v>
      </c>
    </row>
    <row r="326" spans="1:7" x14ac:dyDescent="0.25">
      <c r="A326" t="str">
        <f t="shared" si="33"/>
        <v>207XS0114X</v>
      </c>
      <c r="B326" t="str">
        <f t="shared" si="30"/>
        <v>25</v>
      </c>
      <c r="C326" t="str">
        <f t="shared" si="34"/>
        <v>058</v>
      </c>
      <c r="D326" t="s">
        <v>1959</v>
      </c>
      <c r="E326" t="s">
        <v>2188</v>
      </c>
      <c r="F326" t="s">
        <v>741</v>
      </c>
      <c r="G326" t="s">
        <v>2191</v>
      </c>
    </row>
    <row r="327" spans="1:7" x14ac:dyDescent="0.25">
      <c r="A327" t="str">
        <f t="shared" si="33"/>
        <v>207XS0117X</v>
      </c>
      <c r="B327" t="str">
        <f t="shared" si="30"/>
        <v>25</v>
      </c>
      <c r="C327" t="str">
        <f t="shared" si="34"/>
        <v>058</v>
      </c>
      <c r="D327" t="s">
        <v>1959</v>
      </c>
      <c r="E327" t="s">
        <v>2188</v>
      </c>
      <c r="F327" t="s">
        <v>743</v>
      </c>
      <c r="G327" t="s">
        <v>2192</v>
      </c>
    </row>
    <row r="328" spans="1:7" x14ac:dyDescent="0.25">
      <c r="A328" t="str">
        <f t="shared" si="33"/>
        <v>207XX0004X</v>
      </c>
      <c r="B328" t="str">
        <f t="shared" si="30"/>
        <v>25</v>
      </c>
      <c r="C328" t="str">
        <f t="shared" si="34"/>
        <v>058</v>
      </c>
      <c r="D328" t="s">
        <v>1959</v>
      </c>
      <c r="E328" t="s">
        <v>2188</v>
      </c>
      <c r="F328" t="s">
        <v>745</v>
      </c>
      <c r="G328" t="s">
        <v>2193</v>
      </c>
    </row>
    <row r="329" spans="1:7" x14ac:dyDescent="0.25">
      <c r="A329" t="str">
        <f t="shared" si="33"/>
        <v>207XX0005X</v>
      </c>
      <c r="B329" t="str">
        <f t="shared" si="30"/>
        <v>25</v>
      </c>
      <c r="C329" t="str">
        <f t="shared" si="34"/>
        <v>058</v>
      </c>
      <c r="D329" t="s">
        <v>1959</v>
      </c>
      <c r="E329" t="s">
        <v>2188</v>
      </c>
      <c r="F329" t="s">
        <v>747</v>
      </c>
      <c r="G329" t="s">
        <v>2194</v>
      </c>
    </row>
    <row r="330" spans="1:7" x14ac:dyDescent="0.25">
      <c r="A330" t="str">
        <f t="shared" si="33"/>
        <v>207XX0801X</v>
      </c>
      <c r="B330" t="str">
        <f t="shared" si="30"/>
        <v>25</v>
      </c>
      <c r="C330" t="str">
        <f t="shared" si="34"/>
        <v>058</v>
      </c>
      <c r="D330" t="s">
        <v>1959</v>
      </c>
      <c r="E330" t="s">
        <v>2188</v>
      </c>
      <c r="F330" t="s">
        <v>749</v>
      </c>
      <c r="G330" t="s">
        <v>2195</v>
      </c>
    </row>
    <row r="331" spans="1:7" x14ac:dyDescent="0.25">
      <c r="A331" t="str">
        <f t="shared" si="33"/>
        <v>207XP3100X</v>
      </c>
      <c r="B331" t="str">
        <f t="shared" si="30"/>
        <v>25</v>
      </c>
      <c r="C331" t="str">
        <f>"059"</f>
        <v>059</v>
      </c>
      <c r="D331" t="s">
        <v>1959</v>
      </c>
      <c r="E331" t="s">
        <v>2196</v>
      </c>
      <c r="F331" t="s">
        <v>737</v>
      </c>
      <c r="G331" t="s">
        <v>2190</v>
      </c>
    </row>
    <row r="332" spans="1:7" x14ac:dyDescent="0.25">
      <c r="A332" t="str">
        <f t="shared" si="33"/>
        <v>2086S0120X</v>
      </c>
      <c r="B332" t="str">
        <f t="shared" si="30"/>
        <v>25</v>
      </c>
      <c r="C332" t="str">
        <f>"059"</f>
        <v>059</v>
      </c>
      <c r="D332" t="s">
        <v>1959</v>
      </c>
      <c r="E332" t="s">
        <v>2196</v>
      </c>
      <c r="F332" t="s">
        <v>965</v>
      </c>
      <c r="G332" t="s">
        <v>2197</v>
      </c>
    </row>
    <row r="333" spans="1:7" x14ac:dyDescent="0.25">
      <c r="A333" t="str">
        <f t="shared" si="33"/>
        <v>207ND0101X</v>
      </c>
      <c r="B333" t="str">
        <f t="shared" si="30"/>
        <v>25</v>
      </c>
      <c r="C333" t="str">
        <f>"060"</f>
        <v>060</v>
      </c>
      <c r="D333" t="s">
        <v>1959</v>
      </c>
      <c r="E333" t="s">
        <v>2198</v>
      </c>
      <c r="F333" t="s">
        <v>577</v>
      </c>
      <c r="G333" t="s">
        <v>1980</v>
      </c>
    </row>
    <row r="334" spans="1:7" x14ac:dyDescent="0.25">
      <c r="A334" t="str">
        <f t="shared" si="33"/>
        <v>208200000X</v>
      </c>
      <c r="B334" t="str">
        <f t="shared" si="30"/>
        <v>25</v>
      </c>
      <c r="C334" t="str">
        <f>"060"</f>
        <v>060</v>
      </c>
      <c r="D334" t="s">
        <v>1959</v>
      </c>
      <c r="E334" t="s">
        <v>2198</v>
      </c>
      <c r="F334" t="s">
        <v>863</v>
      </c>
      <c r="G334" t="s">
        <v>2199</v>
      </c>
    </row>
    <row r="335" spans="1:7" x14ac:dyDescent="0.25">
      <c r="A335" t="str">
        <f t="shared" si="33"/>
        <v>2082S0099X</v>
      </c>
      <c r="B335" t="str">
        <f t="shared" si="30"/>
        <v>25</v>
      </c>
      <c r="C335" t="str">
        <f>"060"</f>
        <v>060</v>
      </c>
      <c r="D335" t="s">
        <v>1959</v>
      </c>
      <c r="E335" t="s">
        <v>2198</v>
      </c>
      <c r="F335" t="s">
        <v>865</v>
      </c>
      <c r="G335" t="s">
        <v>2200</v>
      </c>
    </row>
    <row r="336" spans="1:7" x14ac:dyDescent="0.25">
      <c r="A336" t="str">
        <f t="shared" si="33"/>
        <v>2086S0122X</v>
      </c>
      <c r="B336" t="str">
        <f t="shared" si="30"/>
        <v>25</v>
      </c>
      <c r="C336" t="str">
        <f>"060"</f>
        <v>060</v>
      </c>
      <c r="D336" t="s">
        <v>1959</v>
      </c>
      <c r="E336" t="s">
        <v>2198</v>
      </c>
      <c r="F336" t="s">
        <v>967</v>
      </c>
      <c r="G336" t="s">
        <v>2201</v>
      </c>
    </row>
    <row r="337" spans="1:7" x14ac:dyDescent="0.25">
      <c r="A337" t="str">
        <f t="shared" si="33"/>
        <v>208G00000X</v>
      </c>
      <c r="B337" t="str">
        <f t="shared" si="30"/>
        <v>25</v>
      </c>
      <c r="C337" t="str">
        <f>"061"</f>
        <v>061</v>
      </c>
      <c r="D337" t="s">
        <v>1959</v>
      </c>
      <c r="E337" t="s">
        <v>2202</v>
      </c>
      <c r="F337" t="s">
        <v>985</v>
      </c>
      <c r="G337" t="s">
        <v>2203</v>
      </c>
    </row>
    <row r="338" spans="1:7" x14ac:dyDescent="0.25">
      <c r="A338" t="str">
        <f t="shared" si="33"/>
        <v>207XX0801X</v>
      </c>
      <c r="B338" t="str">
        <f t="shared" si="30"/>
        <v>25</v>
      </c>
      <c r="C338" t="str">
        <f>"062"</f>
        <v>062</v>
      </c>
      <c r="D338" t="s">
        <v>1959</v>
      </c>
      <c r="E338" t="s">
        <v>2204</v>
      </c>
      <c r="F338" t="s">
        <v>749</v>
      </c>
      <c r="G338" t="s">
        <v>2195</v>
      </c>
    </row>
    <row r="339" spans="1:7" x14ac:dyDescent="0.25">
      <c r="A339" t="str">
        <f t="shared" si="33"/>
        <v>2086S0127X</v>
      </c>
      <c r="B339" t="str">
        <f t="shared" si="30"/>
        <v>25</v>
      </c>
      <c r="C339" t="str">
        <f>"062"</f>
        <v>062</v>
      </c>
      <c r="D339" t="s">
        <v>1959</v>
      </c>
      <c r="E339" t="s">
        <v>2204</v>
      </c>
      <c r="F339" t="s">
        <v>969</v>
      </c>
      <c r="G339" t="s">
        <v>2205</v>
      </c>
    </row>
    <row r="340" spans="1:7" x14ac:dyDescent="0.25">
      <c r="A340" t="str">
        <f t="shared" si="33"/>
        <v>208800000X</v>
      </c>
      <c r="B340" t="str">
        <f t="shared" si="30"/>
        <v>25</v>
      </c>
      <c r="C340" t="str">
        <f>"063"</f>
        <v>063</v>
      </c>
      <c r="D340" t="s">
        <v>1959</v>
      </c>
      <c r="E340" t="s">
        <v>2206</v>
      </c>
      <c r="F340" t="s">
        <v>975</v>
      </c>
      <c r="G340" t="s">
        <v>2207</v>
      </c>
    </row>
    <row r="341" spans="1:7" x14ac:dyDescent="0.25">
      <c r="A341" t="str">
        <f t="shared" si="33"/>
        <v>2088P0231X</v>
      </c>
      <c r="B341" t="str">
        <f t="shared" si="30"/>
        <v>25</v>
      </c>
      <c r="C341" t="str">
        <f>"063"</f>
        <v>063</v>
      </c>
      <c r="D341" t="s">
        <v>1959</v>
      </c>
      <c r="E341" t="s">
        <v>2206</v>
      </c>
      <c r="F341" t="s">
        <v>979</v>
      </c>
      <c r="G341" t="s">
        <v>2208</v>
      </c>
    </row>
    <row r="342" spans="1:7" x14ac:dyDescent="0.25">
      <c r="A342" t="str">
        <f t="shared" si="33"/>
        <v>207VM0101X</v>
      </c>
      <c r="B342" t="str">
        <f t="shared" si="30"/>
        <v>25</v>
      </c>
      <c r="C342" t="str">
        <f>"065"</f>
        <v>065</v>
      </c>
      <c r="D342" t="s">
        <v>1959</v>
      </c>
      <c r="E342" t="s">
        <v>2209</v>
      </c>
      <c r="F342" t="s">
        <v>713</v>
      </c>
      <c r="G342" t="s">
        <v>2210</v>
      </c>
    </row>
    <row r="343" spans="1:7" x14ac:dyDescent="0.25">
      <c r="A343" t="str">
        <f t="shared" si="33"/>
        <v>2084P0800X</v>
      </c>
      <c r="B343" t="str">
        <f t="shared" si="30"/>
        <v>25</v>
      </c>
      <c r="C343" t="str">
        <f>"066"</f>
        <v>066</v>
      </c>
      <c r="D343" t="s">
        <v>1959</v>
      </c>
      <c r="E343" t="s">
        <v>1884</v>
      </c>
      <c r="F343" t="s">
        <v>917</v>
      </c>
      <c r="G343" t="s">
        <v>2143</v>
      </c>
    </row>
    <row r="344" spans="1:7" x14ac:dyDescent="0.25">
      <c r="A344" t="str">
        <f t="shared" si="33"/>
        <v>207SC0300X</v>
      </c>
      <c r="B344" t="str">
        <f t="shared" si="30"/>
        <v>25</v>
      </c>
      <c r="C344" t="str">
        <f>"100"</f>
        <v>100</v>
      </c>
      <c r="D344" t="s">
        <v>1959</v>
      </c>
      <c r="E344" t="s">
        <v>2211</v>
      </c>
      <c r="F344" t="s">
        <v>677</v>
      </c>
      <c r="G344" t="s">
        <v>2212</v>
      </c>
    </row>
    <row r="345" spans="1:7" x14ac:dyDescent="0.25">
      <c r="A345" t="str">
        <f t="shared" si="33"/>
        <v>207SG0201X</v>
      </c>
      <c r="B345" t="str">
        <f t="shared" si="30"/>
        <v>25</v>
      </c>
      <c r="C345" t="str">
        <f>"100"</f>
        <v>100</v>
      </c>
      <c r="D345" t="s">
        <v>1959</v>
      </c>
      <c r="E345" t="s">
        <v>2211</v>
      </c>
      <c r="F345" t="s">
        <v>679</v>
      </c>
      <c r="G345" t="s">
        <v>2213</v>
      </c>
    </row>
    <row r="346" spans="1:7" x14ac:dyDescent="0.25">
      <c r="A346" t="str">
        <f t="shared" si="33"/>
        <v>207SG0202X</v>
      </c>
      <c r="B346" t="str">
        <f t="shared" si="30"/>
        <v>25</v>
      </c>
      <c r="C346" t="str">
        <f>"100"</f>
        <v>100</v>
      </c>
      <c r="D346" t="s">
        <v>1959</v>
      </c>
      <c r="E346" t="s">
        <v>2211</v>
      </c>
      <c r="F346" t="s">
        <v>681</v>
      </c>
      <c r="G346" t="s">
        <v>2214</v>
      </c>
    </row>
    <row r="347" spans="1:7" x14ac:dyDescent="0.25">
      <c r="A347" t="str">
        <f t="shared" si="33"/>
        <v>207SG0203X</v>
      </c>
      <c r="B347" t="str">
        <f t="shared" si="30"/>
        <v>25</v>
      </c>
      <c r="C347" t="str">
        <f>"100"</f>
        <v>100</v>
      </c>
      <c r="D347" t="s">
        <v>1959</v>
      </c>
      <c r="E347" t="s">
        <v>2211</v>
      </c>
      <c r="F347" t="s">
        <v>683</v>
      </c>
      <c r="G347" t="s">
        <v>2215</v>
      </c>
    </row>
    <row r="348" spans="1:7" x14ac:dyDescent="0.25">
      <c r="A348" t="str">
        <f t="shared" si="33"/>
        <v>207SG0207X</v>
      </c>
      <c r="B348" t="str">
        <f t="shared" si="30"/>
        <v>25</v>
      </c>
      <c r="C348" t="str">
        <f>"100"</f>
        <v>100</v>
      </c>
      <c r="D348" t="s">
        <v>1959</v>
      </c>
      <c r="E348" t="s">
        <v>2211</v>
      </c>
      <c r="F348" t="s">
        <v>2216</v>
      </c>
      <c r="G348" t="s">
        <v>2217</v>
      </c>
    </row>
    <row r="349" spans="1:7" x14ac:dyDescent="0.25">
      <c r="A349" t="str">
        <f t="shared" si="33"/>
        <v>2080N0001X</v>
      </c>
      <c r="B349" t="str">
        <f t="shared" si="30"/>
        <v>25</v>
      </c>
      <c r="C349" t="str">
        <f>"101"</f>
        <v>101</v>
      </c>
      <c r="D349" t="s">
        <v>1959</v>
      </c>
      <c r="E349" t="s">
        <v>2218</v>
      </c>
      <c r="F349" t="s">
        <v>811</v>
      </c>
      <c r="G349" t="s">
        <v>2044</v>
      </c>
    </row>
    <row r="350" spans="1:7" x14ac:dyDescent="0.25">
      <c r="A350" t="str">
        <f t="shared" si="33"/>
        <v>2080P0203X</v>
      </c>
      <c r="B350" t="str">
        <f t="shared" si="30"/>
        <v>25</v>
      </c>
      <c r="C350" t="str">
        <f>"101"</f>
        <v>101</v>
      </c>
      <c r="D350" t="s">
        <v>1959</v>
      </c>
      <c r="E350" t="s">
        <v>2218</v>
      </c>
      <c r="F350" t="s">
        <v>821</v>
      </c>
      <c r="G350" t="s">
        <v>2219</v>
      </c>
    </row>
    <row r="351" spans="1:7" x14ac:dyDescent="0.25">
      <c r="A351" t="str">
        <f t="shared" si="33"/>
        <v>2080P0204X</v>
      </c>
      <c r="B351" t="str">
        <f t="shared" si="30"/>
        <v>25</v>
      </c>
      <c r="C351" t="str">
        <f>"102"</f>
        <v>102</v>
      </c>
      <c r="D351" t="s">
        <v>1959</v>
      </c>
      <c r="E351" t="s">
        <v>2220</v>
      </c>
      <c r="F351" t="s">
        <v>823</v>
      </c>
      <c r="G351" t="s">
        <v>2221</v>
      </c>
    </row>
    <row r="352" spans="1:7" x14ac:dyDescent="0.25">
      <c r="A352" t="str">
        <f t="shared" si="33"/>
        <v>2086S0120X</v>
      </c>
      <c r="B352" t="str">
        <f t="shared" si="30"/>
        <v>25</v>
      </c>
      <c r="C352" t="str">
        <f>"103"</f>
        <v>103</v>
      </c>
      <c r="D352" t="s">
        <v>1959</v>
      </c>
      <c r="E352" t="s">
        <v>2222</v>
      </c>
      <c r="F352" t="s">
        <v>965</v>
      </c>
      <c r="G352" t="s">
        <v>2197</v>
      </c>
    </row>
    <row r="353" spans="1:7" x14ac:dyDescent="0.25">
      <c r="A353" t="str">
        <f t="shared" si="33"/>
        <v>208800000X</v>
      </c>
      <c r="B353" t="str">
        <f t="shared" si="30"/>
        <v>25</v>
      </c>
      <c r="C353" t="str">
        <f>"104"</f>
        <v>104</v>
      </c>
      <c r="D353" t="s">
        <v>1959</v>
      </c>
      <c r="E353" t="s">
        <v>2223</v>
      </c>
      <c r="F353" t="s">
        <v>975</v>
      </c>
      <c r="G353" t="s">
        <v>2207</v>
      </c>
    </row>
    <row r="354" spans="1:7" x14ac:dyDescent="0.25">
      <c r="A354" t="str">
        <f t="shared" si="33"/>
        <v>2080H0002X</v>
      </c>
      <c r="B354" t="str">
        <f t="shared" si="30"/>
        <v>25</v>
      </c>
      <c r="C354" t="str">
        <f>"105"</f>
        <v>105</v>
      </c>
      <c r="D354" t="s">
        <v>1959</v>
      </c>
      <c r="E354" t="s">
        <v>2224</v>
      </c>
      <c r="F354" t="s">
        <v>807</v>
      </c>
      <c r="G354" t="s">
        <v>2225</v>
      </c>
    </row>
    <row r="355" spans="1:7" x14ac:dyDescent="0.25">
      <c r="A355" t="str">
        <f t="shared" si="33"/>
        <v>202D00000X</v>
      </c>
      <c r="B355" t="str">
        <f t="shared" si="30"/>
        <v>25</v>
      </c>
      <c r="C355" t="str">
        <f>"140"</f>
        <v>140</v>
      </c>
      <c r="D355" t="s">
        <v>1959</v>
      </c>
      <c r="E355" t="s">
        <v>2226</v>
      </c>
      <c r="F355" t="s">
        <v>1996</v>
      </c>
      <c r="G355" t="s">
        <v>1997</v>
      </c>
    </row>
    <row r="356" spans="1:7" x14ac:dyDescent="0.25">
      <c r="A356" t="str">
        <f t="shared" si="33"/>
        <v>207RA0401X</v>
      </c>
      <c r="B356" t="str">
        <f t="shared" si="30"/>
        <v>25</v>
      </c>
      <c r="C356" t="str">
        <f>"140"</f>
        <v>140</v>
      </c>
      <c r="D356" t="s">
        <v>1959</v>
      </c>
      <c r="E356" t="s">
        <v>2226</v>
      </c>
      <c r="F356" t="s">
        <v>629</v>
      </c>
      <c r="G356" t="s">
        <v>2011</v>
      </c>
    </row>
    <row r="357" spans="1:7" x14ac:dyDescent="0.25">
      <c r="A357" t="str">
        <f t="shared" si="33"/>
        <v>208M00000X</v>
      </c>
      <c r="B357" t="str">
        <f t="shared" si="30"/>
        <v>25</v>
      </c>
      <c r="C357" t="str">
        <f>"140"</f>
        <v>140</v>
      </c>
      <c r="D357" t="s">
        <v>1959</v>
      </c>
      <c r="E357" t="s">
        <v>2226</v>
      </c>
      <c r="F357" t="s">
        <v>987</v>
      </c>
      <c r="G357" t="s">
        <v>2226</v>
      </c>
    </row>
    <row r="358" spans="1:7" x14ac:dyDescent="0.25">
      <c r="A358" t="str">
        <f t="shared" si="33"/>
        <v>2080P0205X</v>
      </c>
      <c r="B358" t="str">
        <f t="shared" si="30"/>
        <v>25</v>
      </c>
      <c r="C358" t="str">
        <f>"205"</f>
        <v>205</v>
      </c>
      <c r="D358" t="s">
        <v>1959</v>
      </c>
      <c r="E358" t="s">
        <v>2227</v>
      </c>
      <c r="F358" t="s">
        <v>825</v>
      </c>
      <c r="G358" t="s">
        <v>2228</v>
      </c>
    </row>
    <row r="359" spans="1:7" x14ac:dyDescent="0.25">
      <c r="A359" t="str">
        <f t="shared" si="33"/>
        <v>208800000X</v>
      </c>
      <c r="B359" t="str">
        <f t="shared" si="30"/>
        <v>25</v>
      </c>
      <c r="C359" t="str">
        <f>"209"</f>
        <v>209</v>
      </c>
      <c r="D359" t="s">
        <v>1959</v>
      </c>
      <c r="E359" t="s">
        <v>2207</v>
      </c>
      <c r="F359" t="s">
        <v>975</v>
      </c>
      <c r="G359" t="s">
        <v>2207</v>
      </c>
    </row>
    <row r="360" spans="1:7" x14ac:dyDescent="0.25">
      <c r="A360" t="str">
        <f t="shared" si="33"/>
        <v>2088F0040X</v>
      </c>
      <c r="B360" t="str">
        <f t="shared" si="30"/>
        <v>25</v>
      </c>
      <c r="C360" t="str">
        <f>"209"</f>
        <v>209</v>
      </c>
      <c r="D360" t="s">
        <v>1959</v>
      </c>
      <c r="E360" t="s">
        <v>2207</v>
      </c>
      <c r="F360" t="s">
        <v>977</v>
      </c>
      <c r="G360" t="s">
        <v>2229</v>
      </c>
    </row>
    <row r="361" spans="1:7" x14ac:dyDescent="0.25">
      <c r="A361" t="str">
        <f t="shared" si="33"/>
        <v>207QA0000X</v>
      </c>
      <c r="B361" t="str">
        <f t="shared" ref="B361:B424" si="35">"26"</f>
        <v>26</v>
      </c>
      <c r="C361" t="str">
        <f>"001"</f>
        <v>001</v>
      </c>
      <c r="D361" t="s">
        <v>2230</v>
      </c>
      <c r="E361" t="s">
        <v>1960</v>
      </c>
      <c r="F361" t="s">
        <v>603</v>
      </c>
      <c r="G361" t="s">
        <v>1961</v>
      </c>
    </row>
    <row r="362" spans="1:7" x14ac:dyDescent="0.25">
      <c r="A362" t="str">
        <f t="shared" si="33"/>
        <v>207RA0000X</v>
      </c>
      <c r="B362" t="str">
        <f t="shared" si="35"/>
        <v>26</v>
      </c>
      <c r="C362" t="str">
        <f>"001"</f>
        <v>001</v>
      </c>
      <c r="D362" t="s">
        <v>2230</v>
      </c>
      <c r="E362" t="s">
        <v>1960</v>
      </c>
      <c r="F362" t="s">
        <v>621</v>
      </c>
      <c r="G362" t="s">
        <v>1962</v>
      </c>
    </row>
    <row r="363" spans="1:7" x14ac:dyDescent="0.25">
      <c r="A363" t="str">
        <f t="shared" si="33"/>
        <v>2080A0000X</v>
      </c>
      <c r="B363" t="str">
        <f t="shared" si="35"/>
        <v>26</v>
      </c>
      <c r="C363" t="str">
        <f>"001"</f>
        <v>001</v>
      </c>
      <c r="D363" t="s">
        <v>2230</v>
      </c>
      <c r="E363" t="s">
        <v>1960</v>
      </c>
      <c r="F363" t="s">
        <v>801</v>
      </c>
      <c r="G363" t="s">
        <v>1963</v>
      </c>
    </row>
    <row r="364" spans="1:7" x14ac:dyDescent="0.25">
      <c r="A364" t="str">
        <f t="shared" si="33"/>
        <v>2084E0001X</v>
      </c>
      <c r="B364" t="str">
        <f t="shared" si="35"/>
        <v>26</v>
      </c>
      <c r="C364" t="str">
        <f>"001"</f>
        <v>001</v>
      </c>
      <c r="D364" t="s">
        <v>2230</v>
      </c>
      <c r="E364" t="s">
        <v>1960</v>
      </c>
      <c r="F364" t="s">
        <v>1964</v>
      </c>
      <c r="G364" t="s">
        <v>1965</v>
      </c>
    </row>
    <row r="365" spans="1:7" x14ac:dyDescent="0.25">
      <c r="A365" t="str">
        <f t="shared" si="33"/>
        <v>207K00000X</v>
      </c>
      <c r="B365" t="str">
        <f t="shared" si="35"/>
        <v>26</v>
      </c>
      <c r="C365" t="str">
        <f>"002"</f>
        <v>002</v>
      </c>
      <c r="D365" t="s">
        <v>2230</v>
      </c>
      <c r="E365" t="s">
        <v>1966</v>
      </c>
      <c r="F365" t="s">
        <v>557</v>
      </c>
      <c r="G365" t="s">
        <v>1967</v>
      </c>
    </row>
    <row r="366" spans="1:7" x14ac:dyDescent="0.25">
      <c r="A366" t="str">
        <f t="shared" si="33"/>
        <v>207KA0200X</v>
      </c>
      <c r="B366" t="str">
        <f t="shared" si="35"/>
        <v>26</v>
      </c>
      <c r="C366" t="str">
        <f>"002"</f>
        <v>002</v>
      </c>
      <c r="D366" t="s">
        <v>2230</v>
      </c>
      <c r="E366" t="s">
        <v>1966</v>
      </c>
      <c r="F366" t="s">
        <v>559</v>
      </c>
      <c r="G366" t="s">
        <v>1968</v>
      </c>
    </row>
    <row r="367" spans="1:7" x14ac:dyDescent="0.25">
      <c r="A367" t="str">
        <f t="shared" si="33"/>
        <v>207L00000X</v>
      </c>
      <c r="B367" t="str">
        <f t="shared" si="35"/>
        <v>26</v>
      </c>
      <c r="C367" t="str">
        <f t="shared" ref="C367:C372" si="36">"003"</f>
        <v>003</v>
      </c>
      <c r="D367" t="s">
        <v>2230</v>
      </c>
      <c r="E367" t="s">
        <v>1969</v>
      </c>
      <c r="F367" t="s">
        <v>563</v>
      </c>
      <c r="G367" t="s">
        <v>1969</v>
      </c>
    </row>
    <row r="368" spans="1:7" x14ac:dyDescent="0.25">
      <c r="A368" t="str">
        <f t="shared" si="33"/>
        <v>207LA0401X</v>
      </c>
      <c r="B368" t="str">
        <f t="shared" si="35"/>
        <v>26</v>
      </c>
      <c r="C368" t="str">
        <f t="shared" si="36"/>
        <v>003</v>
      </c>
      <c r="D368" t="s">
        <v>2230</v>
      </c>
      <c r="E368" t="s">
        <v>1969</v>
      </c>
      <c r="F368" t="s">
        <v>565</v>
      </c>
      <c r="G368" t="s">
        <v>1970</v>
      </c>
    </row>
    <row r="369" spans="1:7" x14ac:dyDescent="0.25">
      <c r="A369" t="str">
        <f t="shared" si="33"/>
        <v>207LC0200X</v>
      </c>
      <c r="B369" t="str">
        <f t="shared" si="35"/>
        <v>26</v>
      </c>
      <c r="C369" t="str">
        <f t="shared" si="36"/>
        <v>003</v>
      </c>
      <c r="D369" t="s">
        <v>2230</v>
      </c>
      <c r="E369" t="s">
        <v>1969</v>
      </c>
      <c r="F369" t="s">
        <v>567</v>
      </c>
      <c r="G369" t="s">
        <v>1971</v>
      </c>
    </row>
    <row r="370" spans="1:7" x14ac:dyDescent="0.25">
      <c r="A370" t="str">
        <f t="shared" si="33"/>
        <v>207LH0002X</v>
      </c>
      <c r="B370" t="str">
        <f t="shared" si="35"/>
        <v>26</v>
      </c>
      <c r="C370" t="str">
        <f t="shared" si="36"/>
        <v>003</v>
      </c>
      <c r="D370" t="s">
        <v>2230</v>
      </c>
      <c r="E370" t="s">
        <v>1969</v>
      </c>
      <c r="F370" t="s">
        <v>569</v>
      </c>
      <c r="G370" t="s">
        <v>1972</v>
      </c>
    </row>
    <row r="371" spans="1:7" x14ac:dyDescent="0.25">
      <c r="A371" t="str">
        <f t="shared" si="33"/>
        <v>207LP2900X</v>
      </c>
      <c r="B371" t="str">
        <f t="shared" si="35"/>
        <v>26</v>
      </c>
      <c r="C371" t="str">
        <f t="shared" si="36"/>
        <v>003</v>
      </c>
      <c r="D371" t="s">
        <v>2230</v>
      </c>
      <c r="E371" t="s">
        <v>1969</v>
      </c>
      <c r="F371" t="s">
        <v>571</v>
      </c>
      <c r="G371" t="s">
        <v>1973</v>
      </c>
    </row>
    <row r="372" spans="1:7" x14ac:dyDescent="0.25">
      <c r="A372" t="str">
        <f t="shared" si="33"/>
        <v>207LP3000X</v>
      </c>
      <c r="B372" t="str">
        <f t="shared" si="35"/>
        <v>26</v>
      </c>
      <c r="C372" t="str">
        <f t="shared" si="36"/>
        <v>003</v>
      </c>
      <c r="D372" t="s">
        <v>2230</v>
      </c>
      <c r="E372" t="s">
        <v>1969</v>
      </c>
      <c r="F372" t="s">
        <v>573</v>
      </c>
      <c r="G372" t="s">
        <v>1974</v>
      </c>
    </row>
    <row r="373" spans="1:7" x14ac:dyDescent="0.25">
      <c r="A373" t="str">
        <f t="shared" si="33"/>
        <v>207RC0000X</v>
      </c>
      <c r="B373" t="str">
        <f t="shared" si="35"/>
        <v>26</v>
      </c>
      <c r="C373" t="str">
        <f>"004"</f>
        <v>004</v>
      </c>
      <c r="D373" t="s">
        <v>2230</v>
      </c>
      <c r="E373" t="s">
        <v>1975</v>
      </c>
      <c r="F373" t="s">
        <v>633</v>
      </c>
      <c r="G373" t="s">
        <v>1976</v>
      </c>
    </row>
    <row r="374" spans="1:7" x14ac:dyDescent="0.25">
      <c r="A374" t="str">
        <f t="shared" si="33"/>
        <v>207RC0001X</v>
      </c>
      <c r="B374" t="str">
        <f t="shared" si="35"/>
        <v>26</v>
      </c>
      <c r="C374" t="str">
        <f>"004"</f>
        <v>004</v>
      </c>
      <c r="D374" t="s">
        <v>2230</v>
      </c>
      <c r="E374" t="s">
        <v>1975</v>
      </c>
      <c r="F374" t="s">
        <v>635</v>
      </c>
      <c r="G374" t="s">
        <v>1977</v>
      </c>
    </row>
    <row r="375" spans="1:7" x14ac:dyDescent="0.25">
      <c r="A375" t="str">
        <f t="shared" si="33"/>
        <v>207RI0011X</v>
      </c>
      <c r="B375" t="str">
        <f t="shared" si="35"/>
        <v>26</v>
      </c>
      <c r="C375" t="str">
        <f>"004"</f>
        <v>004</v>
      </c>
      <c r="D375" t="s">
        <v>2230</v>
      </c>
      <c r="E375" t="s">
        <v>1975</v>
      </c>
      <c r="F375" t="s">
        <v>657</v>
      </c>
      <c r="G375" t="s">
        <v>1978</v>
      </c>
    </row>
    <row r="376" spans="1:7" x14ac:dyDescent="0.25">
      <c r="A376" t="str">
        <f t="shared" si="33"/>
        <v>207N00000X</v>
      </c>
      <c r="B376" t="str">
        <f t="shared" si="35"/>
        <v>26</v>
      </c>
      <c r="C376" t="str">
        <f t="shared" ref="C376:C381" si="37">"005"</f>
        <v>005</v>
      </c>
      <c r="D376" t="s">
        <v>2230</v>
      </c>
      <c r="E376" t="s">
        <v>1979</v>
      </c>
      <c r="F376" t="s">
        <v>575</v>
      </c>
      <c r="G376" t="s">
        <v>1979</v>
      </c>
    </row>
    <row r="377" spans="1:7" x14ac:dyDescent="0.25">
      <c r="A377" t="str">
        <f t="shared" si="33"/>
        <v>207ND0101X</v>
      </c>
      <c r="B377" t="str">
        <f t="shared" si="35"/>
        <v>26</v>
      </c>
      <c r="C377" t="str">
        <f t="shared" si="37"/>
        <v>005</v>
      </c>
      <c r="D377" t="s">
        <v>2230</v>
      </c>
      <c r="E377" t="s">
        <v>1979</v>
      </c>
      <c r="F377" t="s">
        <v>577</v>
      </c>
      <c r="G377" t="s">
        <v>1980</v>
      </c>
    </row>
    <row r="378" spans="1:7" x14ac:dyDescent="0.25">
      <c r="A378" t="str">
        <f t="shared" si="33"/>
        <v>207ND0900X</v>
      </c>
      <c r="B378" t="str">
        <f t="shared" si="35"/>
        <v>26</v>
      </c>
      <c r="C378" t="str">
        <f t="shared" si="37"/>
        <v>005</v>
      </c>
      <c r="D378" t="s">
        <v>2230</v>
      </c>
      <c r="E378" t="s">
        <v>1979</v>
      </c>
      <c r="F378" t="s">
        <v>579</v>
      </c>
      <c r="G378" t="s">
        <v>1981</v>
      </c>
    </row>
    <row r="379" spans="1:7" x14ac:dyDescent="0.25">
      <c r="A379" t="str">
        <f t="shared" si="33"/>
        <v>207NI0002X</v>
      </c>
      <c r="B379" t="str">
        <f t="shared" si="35"/>
        <v>26</v>
      </c>
      <c r="C379" t="str">
        <f t="shared" si="37"/>
        <v>005</v>
      </c>
      <c r="D379" t="s">
        <v>2230</v>
      </c>
      <c r="E379" t="s">
        <v>1979</v>
      </c>
      <c r="F379" t="s">
        <v>581</v>
      </c>
      <c r="G379" t="s">
        <v>1982</v>
      </c>
    </row>
    <row r="380" spans="1:7" x14ac:dyDescent="0.25">
      <c r="A380" t="str">
        <f t="shared" si="33"/>
        <v>207NP0225X</v>
      </c>
      <c r="B380" t="str">
        <f t="shared" si="35"/>
        <v>26</v>
      </c>
      <c r="C380" t="str">
        <f t="shared" si="37"/>
        <v>005</v>
      </c>
      <c r="D380" t="s">
        <v>2230</v>
      </c>
      <c r="E380" t="s">
        <v>1979</v>
      </c>
      <c r="F380" t="s">
        <v>583</v>
      </c>
      <c r="G380" t="s">
        <v>1983</v>
      </c>
    </row>
    <row r="381" spans="1:7" x14ac:dyDescent="0.25">
      <c r="A381" t="str">
        <f t="shared" si="33"/>
        <v>207NS0135X</v>
      </c>
      <c r="B381" t="str">
        <f t="shared" si="35"/>
        <v>26</v>
      </c>
      <c r="C381" t="str">
        <f t="shared" si="37"/>
        <v>005</v>
      </c>
      <c r="D381" t="s">
        <v>2230</v>
      </c>
      <c r="E381" t="s">
        <v>1979</v>
      </c>
      <c r="F381" t="s">
        <v>585</v>
      </c>
      <c r="G381" t="s">
        <v>1984</v>
      </c>
    </row>
    <row r="382" spans="1:7" x14ac:dyDescent="0.25">
      <c r="A382" t="str">
        <f t="shared" si="33"/>
        <v>207RE0101X</v>
      </c>
      <c r="B382" t="str">
        <f t="shared" si="35"/>
        <v>26</v>
      </c>
      <c r="C382" t="str">
        <f>"006"</f>
        <v>006</v>
      </c>
      <c r="D382" t="s">
        <v>2230</v>
      </c>
      <c r="E382" t="s">
        <v>1985</v>
      </c>
      <c r="F382" t="s">
        <v>639</v>
      </c>
      <c r="G382" t="s">
        <v>1986</v>
      </c>
    </row>
    <row r="383" spans="1:7" x14ac:dyDescent="0.25">
      <c r="A383" t="str">
        <f t="shared" si="33"/>
        <v>207P00000X</v>
      </c>
      <c r="B383" t="str">
        <f t="shared" si="35"/>
        <v>26</v>
      </c>
      <c r="C383" t="str">
        <f t="shared" ref="C383:C389" si="38">"007"</f>
        <v>007</v>
      </c>
      <c r="D383" t="s">
        <v>2230</v>
      </c>
      <c r="E383" t="s">
        <v>1987</v>
      </c>
      <c r="F383" t="s">
        <v>587</v>
      </c>
      <c r="G383" t="s">
        <v>1987</v>
      </c>
    </row>
    <row r="384" spans="1:7" x14ac:dyDescent="0.25">
      <c r="A384" t="str">
        <f t="shared" si="33"/>
        <v>207PE0004X</v>
      </c>
      <c r="B384" t="str">
        <f t="shared" si="35"/>
        <v>26</v>
      </c>
      <c r="C384" t="str">
        <f t="shared" si="38"/>
        <v>007</v>
      </c>
      <c r="D384" t="s">
        <v>2230</v>
      </c>
      <c r="E384" t="s">
        <v>1987</v>
      </c>
      <c r="F384" t="s">
        <v>589</v>
      </c>
      <c r="G384" t="s">
        <v>1988</v>
      </c>
    </row>
    <row r="385" spans="1:7" x14ac:dyDescent="0.25">
      <c r="A385" t="str">
        <f t="shared" si="33"/>
        <v>207PE0005X</v>
      </c>
      <c r="B385" t="str">
        <f t="shared" si="35"/>
        <v>26</v>
      </c>
      <c r="C385" t="str">
        <f t="shared" si="38"/>
        <v>007</v>
      </c>
      <c r="D385" t="s">
        <v>2230</v>
      </c>
      <c r="E385" t="s">
        <v>1987</v>
      </c>
      <c r="F385" t="s">
        <v>591</v>
      </c>
      <c r="G385" t="s">
        <v>1989</v>
      </c>
    </row>
    <row r="386" spans="1:7" x14ac:dyDescent="0.25">
      <c r="A386" t="str">
        <f t="shared" si="33"/>
        <v>207PH0002X</v>
      </c>
      <c r="B386" t="str">
        <f t="shared" si="35"/>
        <v>26</v>
      </c>
      <c r="C386" t="str">
        <f t="shared" si="38"/>
        <v>007</v>
      </c>
      <c r="D386" t="s">
        <v>2230</v>
      </c>
      <c r="E386" t="s">
        <v>1987</v>
      </c>
      <c r="F386" t="s">
        <v>593</v>
      </c>
      <c r="G386" t="s">
        <v>1990</v>
      </c>
    </row>
    <row r="387" spans="1:7" x14ac:dyDescent="0.25">
      <c r="A387" t="str">
        <f t="shared" ref="A387:A450" si="39">CLEAN(F387)</f>
        <v>207PP0204X</v>
      </c>
      <c r="B387" t="str">
        <f t="shared" si="35"/>
        <v>26</v>
      </c>
      <c r="C387" t="str">
        <f t="shared" si="38"/>
        <v>007</v>
      </c>
      <c r="D387" t="s">
        <v>2230</v>
      </c>
      <c r="E387" t="s">
        <v>1987</v>
      </c>
      <c r="F387" t="s">
        <v>595</v>
      </c>
      <c r="G387" t="s">
        <v>1991</v>
      </c>
    </row>
    <row r="388" spans="1:7" x14ac:dyDescent="0.25">
      <c r="A388" t="str">
        <f t="shared" si="39"/>
        <v>207PS0010X</v>
      </c>
      <c r="B388" t="str">
        <f t="shared" si="35"/>
        <v>26</v>
      </c>
      <c r="C388" t="str">
        <f t="shared" si="38"/>
        <v>007</v>
      </c>
      <c r="D388" t="s">
        <v>2230</v>
      </c>
      <c r="E388" t="s">
        <v>1987</v>
      </c>
      <c r="F388" t="s">
        <v>597</v>
      </c>
      <c r="G388" t="s">
        <v>1992</v>
      </c>
    </row>
    <row r="389" spans="1:7" x14ac:dyDescent="0.25">
      <c r="A389" t="str">
        <f t="shared" si="39"/>
        <v>207PT0002X</v>
      </c>
      <c r="B389" t="str">
        <f t="shared" si="35"/>
        <v>26</v>
      </c>
      <c r="C389" t="str">
        <f t="shared" si="38"/>
        <v>007</v>
      </c>
      <c r="D389" t="s">
        <v>2230</v>
      </c>
      <c r="E389" t="s">
        <v>1987</v>
      </c>
      <c r="F389" t="s">
        <v>599</v>
      </c>
      <c r="G389" t="s">
        <v>1993</v>
      </c>
    </row>
    <row r="390" spans="1:7" x14ac:dyDescent="0.25">
      <c r="A390" t="str">
        <f t="shared" si="39"/>
        <v>207RE0101X</v>
      </c>
      <c r="B390" t="str">
        <f t="shared" si="35"/>
        <v>26</v>
      </c>
      <c r="C390" t="str">
        <f>"008"</f>
        <v>008</v>
      </c>
      <c r="D390" t="s">
        <v>2230</v>
      </c>
      <c r="E390" t="s">
        <v>1994</v>
      </c>
      <c r="F390" t="s">
        <v>639</v>
      </c>
      <c r="G390" t="s">
        <v>1986</v>
      </c>
    </row>
    <row r="391" spans="1:7" x14ac:dyDescent="0.25">
      <c r="A391" t="str">
        <f t="shared" si="39"/>
        <v>202D00000X</v>
      </c>
      <c r="B391" t="str">
        <f t="shared" si="35"/>
        <v>26</v>
      </c>
      <c r="C391" t="str">
        <f t="shared" ref="C391:C398" si="40">"009"</f>
        <v>009</v>
      </c>
      <c r="D391" t="s">
        <v>2230</v>
      </c>
      <c r="E391" t="s">
        <v>1995</v>
      </c>
      <c r="F391" t="s">
        <v>1996</v>
      </c>
      <c r="G391" t="s">
        <v>1997</v>
      </c>
    </row>
    <row r="392" spans="1:7" x14ac:dyDescent="0.25">
      <c r="A392" t="str">
        <f t="shared" si="39"/>
        <v>207Q00000X</v>
      </c>
      <c r="B392" t="str">
        <f t="shared" si="35"/>
        <v>26</v>
      </c>
      <c r="C392" t="str">
        <f t="shared" si="40"/>
        <v>009</v>
      </c>
      <c r="D392" t="s">
        <v>2230</v>
      </c>
      <c r="E392" t="s">
        <v>1995</v>
      </c>
      <c r="F392" t="s">
        <v>601</v>
      </c>
      <c r="G392" t="s">
        <v>1998</v>
      </c>
    </row>
    <row r="393" spans="1:7" x14ac:dyDescent="0.25">
      <c r="A393" t="str">
        <f t="shared" si="39"/>
        <v>207QA0401X</v>
      </c>
      <c r="B393" t="str">
        <f t="shared" si="35"/>
        <v>26</v>
      </c>
      <c r="C393" t="str">
        <f t="shared" si="40"/>
        <v>009</v>
      </c>
      <c r="D393" t="s">
        <v>2230</v>
      </c>
      <c r="E393" t="s">
        <v>1995</v>
      </c>
      <c r="F393" t="s">
        <v>605</v>
      </c>
      <c r="G393" t="s">
        <v>1999</v>
      </c>
    </row>
    <row r="394" spans="1:7" x14ac:dyDescent="0.25">
      <c r="A394" t="str">
        <f t="shared" si="39"/>
        <v>207QA0505X</v>
      </c>
      <c r="B394" t="str">
        <f t="shared" si="35"/>
        <v>26</v>
      </c>
      <c r="C394" t="str">
        <f t="shared" si="40"/>
        <v>009</v>
      </c>
      <c r="D394" t="s">
        <v>2230</v>
      </c>
      <c r="E394" t="s">
        <v>1995</v>
      </c>
      <c r="F394" t="s">
        <v>607</v>
      </c>
      <c r="G394" t="s">
        <v>2000</v>
      </c>
    </row>
    <row r="395" spans="1:7" x14ac:dyDescent="0.25">
      <c r="A395" t="str">
        <f t="shared" si="39"/>
        <v>207QB0002X</v>
      </c>
      <c r="B395" t="str">
        <f t="shared" si="35"/>
        <v>26</v>
      </c>
      <c r="C395" t="str">
        <f t="shared" si="40"/>
        <v>009</v>
      </c>
      <c r="D395" t="s">
        <v>2230</v>
      </c>
      <c r="E395" t="s">
        <v>1995</v>
      </c>
      <c r="F395" t="s">
        <v>609</v>
      </c>
      <c r="G395" t="s">
        <v>2001</v>
      </c>
    </row>
    <row r="396" spans="1:7" x14ac:dyDescent="0.25">
      <c r="A396" t="str">
        <f t="shared" si="39"/>
        <v>207QH0002X</v>
      </c>
      <c r="B396" t="str">
        <f t="shared" si="35"/>
        <v>26</v>
      </c>
      <c r="C396" t="str">
        <f t="shared" si="40"/>
        <v>009</v>
      </c>
      <c r="D396" t="s">
        <v>2230</v>
      </c>
      <c r="E396" t="s">
        <v>1995</v>
      </c>
      <c r="F396" t="s">
        <v>613</v>
      </c>
      <c r="G396" t="s">
        <v>2002</v>
      </c>
    </row>
    <row r="397" spans="1:7" x14ac:dyDescent="0.25">
      <c r="A397" t="str">
        <f t="shared" si="39"/>
        <v>207QS0010X</v>
      </c>
      <c r="B397" t="str">
        <f t="shared" si="35"/>
        <v>26</v>
      </c>
      <c r="C397" t="str">
        <f t="shared" si="40"/>
        <v>009</v>
      </c>
      <c r="D397" t="s">
        <v>2230</v>
      </c>
      <c r="E397" t="s">
        <v>1995</v>
      </c>
      <c r="F397" t="s">
        <v>615</v>
      </c>
      <c r="G397" t="s">
        <v>2003</v>
      </c>
    </row>
    <row r="398" spans="1:7" x14ac:dyDescent="0.25">
      <c r="A398" t="str">
        <f t="shared" si="39"/>
        <v>207QS1201X</v>
      </c>
      <c r="B398" t="str">
        <f t="shared" si="35"/>
        <v>26</v>
      </c>
      <c r="C398" t="str">
        <f t="shared" si="40"/>
        <v>009</v>
      </c>
      <c r="D398" t="s">
        <v>2230</v>
      </c>
      <c r="E398" t="s">
        <v>1995</v>
      </c>
      <c r="F398" t="s">
        <v>617</v>
      </c>
      <c r="G398" t="s">
        <v>2004</v>
      </c>
    </row>
    <row r="399" spans="1:7" x14ac:dyDescent="0.25">
      <c r="A399" t="str">
        <f t="shared" si="39"/>
        <v>207RG0100X</v>
      </c>
      <c r="B399" t="str">
        <f t="shared" si="35"/>
        <v>26</v>
      </c>
      <c r="C399" t="str">
        <f>"010"</f>
        <v>010</v>
      </c>
      <c r="D399" t="s">
        <v>2230</v>
      </c>
      <c r="E399" t="s">
        <v>2005</v>
      </c>
      <c r="F399" t="s">
        <v>641</v>
      </c>
      <c r="G399" t="s">
        <v>2006</v>
      </c>
    </row>
    <row r="400" spans="1:7" x14ac:dyDescent="0.25">
      <c r="A400" t="str">
        <f t="shared" si="39"/>
        <v>207RT0003X</v>
      </c>
      <c r="B400" t="str">
        <f t="shared" si="35"/>
        <v>26</v>
      </c>
      <c r="C400" t="str">
        <f>"010"</f>
        <v>010</v>
      </c>
      <c r="D400" t="s">
        <v>2230</v>
      </c>
      <c r="E400" t="s">
        <v>2005</v>
      </c>
      <c r="F400" t="s">
        <v>673</v>
      </c>
      <c r="G400" t="s">
        <v>2007</v>
      </c>
    </row>
    <row r="401" spans="1:7" x14ac:dyDescent="0.25">
      <c r="A401" t="str">
        <f t="shared" si="39"/>
        <v>202D00000X</v>
      </c>
      <c r="B401" t="str">
        <f t="shared" si="35"/>
        <v>26</v>
      </c>
      <c r="C401" t="str">
        <f>"011"</f>
        <v>011</v>
      </c>
      <c r="D401" t="s">
        <v>2230</v>
      </c>
      <c r="E401" t="s">
        <v>2008</v>
      </c>
      <c r="F401" t="s">
        <v>1996</v>
      </c>
      <c r="G401" t="s">
        <v>1997</v>
      </c>
    </row>
    <row r="402" spans="1:7" x14ac:dyDescent="0.25">
      <c r="A402" t="str">
        <f t="shared" si="39"/>
        <v>2084E0001X</v>
      </c>
      <c r="B402" t="str">
        <f t="shared" si="35"/>
        <v>26</v>
      </c>
      <c r="C402" t="str">
        <f>"011"</f>
        <v>011</v>
      </c>
      <c r="D402" t="s">
        <v>2230</v>
      </c>
      <c r="E402" t="s">
        <v>2008</v>
      </c>
      <c r="F402" t="s">
        <v>1964</v>
      </c>
      <c r="G402" t="s">
        <v>1965</v>
      </c>
    </row>
    <row r="403" spans="1:7" x14ac:dyDescent="0.25">
      <c r="A403" t="str">
        <f t="shared" si="39"/>
        <v>208D00000X</v>
      </c>
      <c r="B403" t="str">
        <f t="shared" si="35"/>
        <v>26</v>
      </c>
      <c r="C403" t="str">
        <f>"011"</f>
        <v>011</v>
      </c>
      <c r="D403" t="s">
        <v>2230</v>
      </c>
      <c r="E403" t="s">
        <v>2008</v>
      </c>
      <c r="F403" t="s">
        <v>983</v>
      </c>
      <c r="G403" t="s">
        <v>2009</v>
      </c>
    </row>
    <row r="404" spans="1:7" x14ac:dyDescent="0.25">
      <c r="A404" t="str">
        <f t="shared" si="39"/>
        <v>202D00000X</v>
      </c>
      <c r="B404" t="str">
        <f t="shared" si="35"/>
        <v>26</v>
      </c>
      <c r="C404" t="str">
        <f t="shared" ref="C404:C413" si="41">"012"</f>
        <v>012</v>
      </c>
      <c r="D404" t="s">
        <v>2230</v>
      </c>
      <c r="E404" t="s">
        <v>2010</v>
      </c>
      <c r="F404" t="s">
        <v>1996</v>
      </c>
      <c r="G404" t="s">
        <v>1997</v>
      </c>
    </row>
    <row r="405" spans="1:7" x14ac:dyDescent="0.25">
      <c r="A405" t="str">
        <f t="shared" si="39"/>
        <v>207RA0401X</v>
      </c>
      <c r="B405" t="str">
        <f t="shared" si="35"/>
        <v>26</v>
      </c>
      <c r="C405" t="str">
        <f t="shared" si="41"/>
        <v>012</v>
      </c>
      <c r="D405" t="s">
        <v>2230</v>
      </c>
      <c r="E405" t="s">
        <v>2010</v>
      </c>
      <c r="F405" t="s">
        <v>629</v>
      </c>
      <c r="G405" t="s">
        <v>2011</v>
      </c>
    </row>
    <row r="406" spans="1:7" x14ac:dyDescent="0.25">
      <c r="A406" t="str">
        <f t="shared" si="39"/>
        <v>2083A0100X</v>
      </c>
      <c r="B406" t="str">
        <f t="shared" si="35"/>
        <v>26</v>
      </c>
      <c r="C406" t="str">
        <f t="shared" si="41"/>
        <v>012</v>
      </c>
      <c r="D406" t="s">
        <v>2230</v>
      </c>
      <c r="E406" t="s">
        <v>2010</v>
      </c>
      <c r="F406" t="s">
        <v>869</v>
      </c>
      <c r="G406" t="s">
        <v>2012</v>
      </c>
    </row>
    <row r="407" spans="1:7" x14ac:dyDescent="0.25">
      <c r="A407" t="str">
        <f t="shared" si="39"/>
        <v>2083B0002X</v>
      </c>
      <c r="B407" t="str">
        <f t="shared" si="35"/>
        <v>26</v>
      </c>
      <c r="C407" t="str">
        <f t="shared" si="41"/>
        <v>012</v>
      </c>
      <c r="D407" t="s">
        <v>2230</v>
      </c>
      <c r="E407" t="s">
        <v>2010</v>
      </c>
      <c r="F407" t="s">
        <v>873</v>
      </c>
      <c r="G407" t="s">
        <v>2013</v>
      </c>
    </row>
    <row r="408" spans="1:7" x14ac:dyDescent="0.25">
      <c r="A408" t="str">
        <f t="shared" si="39"/>
        <v>2083C0008X</v>
      </c>
      <c r="B408" t="str">
        <f t="shared" si="35"/>
        <v>26</v>
      </c>
      <c r="C408" t="str">
        <f t="shared" si="41"/>
        <v>012</v>
      </c>
      <c r="D408" t="s">
        <v>2230</v>
      </c>
      <c r="E408" t="s">
        <v>2010</v>
      </c>
      <c r="F408" t="s">
        <v>875</v>
      </c>
      <c r="G408" t="s">
        <v>2014</v>
      </c>
    </row>
    <row r="409" spans="1:7" x14ac:dyDescent="0.25">
      <c r="A409" t="str">
        <f t="shared" si="39"/>
        <v>2083P0011X</v>
      </c>
      <c r="B409" t="str">
        <f t="shared" si="35"/>
        <v>26</v>
      </c>
      <c r="C409" t="str">
        <f t="shared" si="41"/>
        <v>012</v>
      </c>
      <c r="D409" t="s">
        <v>2230</v>
      </c>
      <c r="E409" t="s">
        <v>2010</v>
      </c>
      <c r="F409" t="s">
        <v>877</v>
      </c>
      <c r="G409" t="s">
        <v>2015</v>
      </c>
    </row>
    <row r="410" spans="1:7" x14ac:dyDescent="0.25">
      <c r="A410" t="str">
        <f t="shared" si="39"/>
        <v>2083P0500X</v>
      </c>
      <c r="B410" t="str">
        <f t="shared" si="35"/>
        <v>26</v>
      </c>
      <c r="C410" t="str">
        <f t="shared" si="41"/>
        <v>012</v>
      </c>
      <c r="D410" t="s">
        <v>2230</v>
      </c>
      <c r="E410" t="s">
        <v>2010</v>
      </c>
      <c r="F410" t="s">
        <v>879</v>
      </c>
      <c r="G410" t="s">
        <v>2016</v>
      </c>
    </row>
    <row r="411" spans="1:7" x14ac:dyDescent="0.25">
      <c r="A411" t="str">
        <f t="shared" si="39"/>
        <v>2083P0901X</v>
      </c>
      <c r="B411" t="str">
        <f t="shared" si="35"/>
        <v>26</v>
      </c>
      <c r="C411" t="str">
        <f t="shared" si="41"/>
        <v>012</v>
      </c>
      <c r="D411" t="s">
        <v>2230</v>
      </c>
      <c r="E411" t="s">
        <v>2010</v>
      </c>
      <c r="F411" t="s">
        <v>881</v>
      </c>
      <c r="G411" t="s">
        <v>2017</v>
      </c>
    </row>
    <row r="412" spans="1:7" x14ac:dyDescent="0.25">
      <c r="A412" t="str">
        <f t="shared" si="39"/>
        <v>2083S0010X</v>
      </c>
      <c r="B412" t="str">
        <f t="shared" si="35"/>
        <v>26</v>
      </c>
      <c r="C412" t="str">
        <f t="shared" si="41"/>
        <v>012</v>
      </c>
      <c r="D412" t="s">
        <v>2230</v>
      </c>
      <c r="E412" t="s">
        <v>2010</v>
      </c>
      <c r="F412" t="s">
        <v>883</v>
      </c>
      <c r="G412" t="s">
        <v>2018</v>
      </c>
    </row>
    <row r="413" spans="1:7" x14ac:dyDescent="0.25">
      <c r="A413" t="str">
        <f t="shared" si="39"/>
        <v>2083T0002X</v>
      </c>
      <c r="B413" t="str">
        <f t="shared" si="35"/>
        <v>26</v>
      </c>
      <c r="C413" t="str">
        <f t="shared" si="41"/>
        <v>012</v>
      </c>
      <c r="D413" t="s">
        <v>2230</v>
      </c>
      <c r="E413" t="s">
        <v>2010</v>
      </c>
      <c r="F413" t="s">
        <v>885</v>
      </c>
      <c r="G413" t="s">
        <v>2019</v>
      </c>
    </row>
    <row r="414" spans="1:7" x14ac:dyDescent="0.25">
      <c r="A414" t="str">
        <f t="shared" si="39"/>
        <v>207QG0300X</v>
      </c>
      <c r="B414" t="str">
        <f t="shared" si="35"/>
        <v>26</v>
      </c>
      <c r="C414" t="str">
        <f>"013"</f>
        <v>013</v>
      </c>
      <c r="D414" t="s">
        <v>2230</v>
      </c>
      <c r="E414" t="s">
        <v>2020</v>
      </c>
      <c r="F414" t="s">
        <v>611</v>
      </c>
      <c r="G414" t="s">
        <v>2021</v>
      </c>
    </row>
    <row r="415" spans="1:7" x14ac:dyDescent="0.25">
      <c r="A415" t="str">
        <f t="shared" si="39"/>
        <v>207RG0300X</v>
      </c>
      <c r="B415" t="str">
        <f t="shared" si="35"/>
        <v>26</v>
      </c>
      <c r="C415" t="str">
        <f>"013"</f>
        <v>013</v>
      </c>
      <c r="D415" t="s">
        <v>2230</v>
      </c>
      <c r="E415" t="s">
        <v>2020</v>
      </c>
      <c r="F415" t="s">
        <v>643</v>
      </c>
      <c r="G415" t="s">
        <v>2022</v>
      </c>
    </row>
    <row r="416" spans="1:7" x14ac:dyDescent="0.25">
      <c r="A416" t="str">
        <f t="shared" si="39"/>
        <v>207VG0400X</v>
      </c>
      <c r="B416" t="str">
        <f t="shared" si="35"/>
        <v>26</v>
      </c>
      <c r="C416" t="str">
        <f>"014"</f>
        <v>014</v>
      </c>
      <c r="D416" t="s">
        <v>2230</v>
      </c>
      <c r="E416" t="s">
        <v>2023</v>
      </c>
      <c r="F416" t="s">
        <v>709</v>
      </c>
      <c r="G416" t="s">
        <v>2024</v>
      </c>
    </row>
    <row r="417" spans="1:7" x14ac:dyDescent="0.25">
      <c r="A417" t="str">
        <f t="shared" si="39"/>
        <v>207VX0201X</v>
      </c>
      <c r="B417" t="str">
        <f t="shared" si="35"/>
        <v>26</v>
      </c>
      <c r="C417" t="str">
        <f>"014"</f>
        <v>014</v>
      </c>
      <c r="D417" t="s">
        <v>2230</v>
      </c>
      <c r="E417" t="s">
        <v>2023</v>
      </c>
      <c r="F417" t="s">
        <v>717</v>
      </c>
      <c r="G417" t="s">
        <v>2025</v>
      </c>
    </row>
    <row r="418" spans="1:7" x14ac:dyDescent="0.25">
      <c r="A418" t="str">
        <f t="shared" si="39"/>
        <v>207RH0000X</v>
      </c>
      <c r="B418" t="str">
        <f t="shared" si="35"/>
        <v>26</v>
      </c>
      <c r="C418" t="str">
        <f>"015"</f>
        <v>015</v>
      </c>
      <c r="D418" t="s">
        <v>2230</v>
      </c>
      <c r="E418" t="s">
        <v>2026</v>
      </c>
      <c r="F418" t="s">
        <v>645</v>
      </c>
      <c r="G418" t="s">
        <v>2027</v>
      </c>
    </row>
    <row r="419" spans="1:7" x14ac:dyDescent="0.25">
      <c r="A419" t="str">
        <f t="shared" si="39"/>
        <v>207ZH0000X</v>
      </c>
      <c r="B419" t="str">
        <f t="shared" si="35"/>
        <v>26</v>
      </c>
      <c r="C419" t="str">
        <f>"015"</f>
        <v>015</v>
      </c>
      <c r="D419" t="s">
        <v>2230</v>
      </c>
      <c r="E419" t="s">
        <v>2026</v>
      </c>
      <c r="F419" t="s">
        <v>779</v>
      </c>
      <c r="G419" t="s">
        <v>2028</v>
      </c>
    </row>
    <row r="420" spans="1:7" x14ac:dyDescent="0.25">
      <c r="A420" t="str">
        <f t="shared" si="39"/>
        <v>207KI0005X</v>
      </c>
      <c r="B420" t="str">
        <f t="shared" si="35"/>
        <v>26</v>
      </c>
      <c r="C420" t="str">
        <f>"016"</f>
        <v>016</v>
      </c>
      <c r="D420" t="s">
        <v>2230</v>
      </c>
      <c r="E420" t="s">
        <v>2029</v>
      </c>
      <c r="F420" t="s">
        <v>561</v>
      </c>
      <c r="G420" t="s">
        <v>2030</v>
      </c>
    </row>
    <row r="421" spans="1:7" x14ac:dyDescent="0.25">
      <c r="A421" t="str">
        <f t="shared" si="39"/>
        <v>207RA0201X</v>
      </c>
      <c r="B421" t="str">
        <f t="shared" si="35"/>
        <v>26</v>
      </c>
      <c r="C421" t="str">
        <f>"016"</f>
        <v>016</v>
      </c>
      <c r="D421" t="s">
        <v>2230</v>
      </c>
      <c r="E421" t="s">
        <v>2029</v>
      </c>
      <c r="F421" t="s">
        <v>627</v>
      </c>
      <c r="G421" t="s">
        <v>2231</v>
      </c>
    </row>
    <row r="422" spans="1:7" x14ac:dyDescent="0.25">
      <c r="A422" t="str">
        <f t="shared" si="39"/>
        <v>207RI0001X</v>
      </c>
      <c r="B422" t="str">
        <f t="shared" si="35"/>
        <v>26</v>
      </c>
      <c r="C422" t="str">
        <f>"016"</f>
        <v>016</v>
      </c>
      <c r="D422" t="s">
        <v>2230</v>
      </c>
      <c r="E422" t="s">
        <v>2029</v>
      </c>
      <c r="F422" t="s">
        <v>653</v>
      </c>
      <c r="G422" t="s">
        <v>2031</v>
      </c>
    </row>
    <row r="423" spans="1:7" x14ac:dyDescent="0.25">
      <c r="A423" t="str">
        <f t="shared" si="39"/>
        <v>207RI0200X</v>
      </c>
      <c r="B423" t="str">
        <f t="shared" si="35"/>
        <v>26</v>
      </c>
      <c r="C423" t="str">
        <f>"017"</f>
        <v>017</v>
      </c>
      <c r="D423" t="s">
        <v>2230</v>
      </c>
      <c r="E423" t="s">
        <v>2032</v>
      </c>
      <c r="F423" t="s">
        <v>659</v>
      </c>
      <c r="G423" t="s">
        <v>2033</v>
      </c>
    </row>
    <row r="424" spans="1:7" x14ac:dyDescent="0.25">
      <c r="A424" t="str">
        <f t="shared" si="39"/>
        <v>202D00000X</v>
      </c>
      <c r="B424" t="str">
        <f t="shared" si="35"/>
        <v>26</v>
      </c>
      <c r="C424" t="str">
        <f t="shared" ref="C424:C436" si="42">"018"</f>
        <v>018</v>
      </c>
      <c r="D424" t="s">
        <v>2230</v>
      </c>
      <c r="E424" t="s">
        <v>2034</v>
      </c>
      <c r="F424" t="s">
        <v>1996</v>
      </c>
      <c r="G424" t="s">
        <v>1997</v>
      </c>
    </row>
    <row r="425" spans="1:7" x14ac:dyDescent="0.25">
      <c r="A425" t="str">
        <f t="shared" si="39"/>
        <v>207R00000X</v>
      </c>
      <c r="B425" t="str">
        <f t="shared" ref="B425:B488" si="43">"26"</f>
        <v>26</v>
      </c>
      <c r="C425" t="str">
        <f t="shared" si="42"/>
        <v>018</v>
      </c>
      <c r="D425" t="s">
        <v>2230</v>
      </c>
      <c r="E425" t="s">
        <v>2034</v>
      </c>
      <c r="F425" t="s">
        <v>619</v>
      </c>
      <c r="G425" t="s">
        <v>2034</v>
      </c>
    </row>
    <row r="426" spans="1:7" x14ac:dyDescent="0.25">
      <c r="A426" t="str">
        <f t="shared" si="39"/>
        <v>207RA0401X</v>
      </c>
      <c r="B426" t="str">
        <f t="shared" si="43"/>
        <v>26</v>
      </c>
      <c r="C426" t="str">
        <f t="shared" si="42"/>
        <v>018</v>
      </c>
      <c r="D426" t="s">
        <v>2230</v>
      </c>
      <c r="E426" t="s">
        <v>2034</v>
      </c>
      <c r="F426" t="s">
        <v>629</v>
      </c>
      <c r="G426" t="s">
        <v>2011</v>
      </c>
    </row>
    <row r="427" spans="1:7" x14ac:dyDescent="0.25">
      <c r="A427" t="str">
        <f t="shared" si="39"/>
        <v>207RB0002X</v>
      </c>
      <c r="B427" t="str">
        <f t="shared" si="43"/>
        <v>26</v>
      </c>
      <c r="C427" t="str">
        <f t="shared" si="42"/>
        <v>018</v>
      </c>
      <c r="D427" t="s">
        <v>2230</v>
      </c>
      <c r="E427" t="s">
        <v>2034</v>
      </c>
      <c r="F427" t="s">
        <v>631</v>
      </c>
      <c r="G427" t="s">
        <v>2035</v>
      </c>
    </row>
    <row r="428" spans="1:7" x14ac:dyDescent="0.25">
      <c r="A428" t="str">
        <f t="shared" si="39"/>
        <v>207RC0200X</v>
      </c>
      <c r="B428" t="str">
        <f t="shared" si="43"/>
        <v>26</v>
      </c>
      <c r="C428" t="str">
        <f t="shared" si="42"/>
        <v>018</v>
      </c>
      <c r="D428" t="s">
        <v>2230</v>
      </c>
      <c r="E428" t="s">
        <v>2034</v>
      </c>
      <c r="F428" t="s">
        <v>637</v>
      </c>
      <c r="G428" t="s">
        <v>2036</v>
      </c>
    </row>
    <row r="429" spans="1:7" x14ac:dyDescent="0.25">
      <c r="A429" t="str">
        <f t="shared" si="39"/>
        <v>207RH0002X</v>
      </c>
      <c r="B429" t="str">
        <f t="shared" si="43"/>
        <v>26</v>
      </c>
      <c r="C429" t="str">
        <f t="shared" si="42"/>
        <v>018</v>
      </c>
      <c r="D429" t="s">
        <v>2230</v>
      </c>
      <c r="E429" t="s">
        <v>2034</v>
      </c>
      <c r="F429" t="s">
        <v>647</v>
      </c>
      <c r="G429" t="s">
        <v>2037</v>
      </c>
    </row>
    <row r="430" spans="1:7" x14ac:dyDescent="0.25">
      <c r="A430" t="str">
        <f t="shared" si="39"/>
        <v>207RH0005X</v>
      </c>
      <c r="B430" t="str">
        <f t="shared" si="43"/>
        <v>26</v>
      </c>
      <c r="C430" t="str">
        <f t="shared" si="42"/>
        <v>018</v>
      </c>
      <c r="D430" t="s">
        <v>2230</v>
      </c>
      <c r="E430" t="s">
        <v>2034</v>
      </c>
      <c r="F430" t="s">
        <v>651</v>
      </c>
      <c r="G430" t="s">
        <v>2038</v>
      </c>
    </row>
    <row r="431" spans="1:7" x14ac:dyDescent="0.25">
      <c r="A431" t="str">
        <f t="shared" si="39"/>
        <v>207RI0008X</v>
      </c>
      <c r="B431" t="str">
        <f t="shared" si="43"/>
        <v>26</v>
      </c>
      <c r="C431" t="str">
        <f t="shared" si="42"/>
        <v>018</v>
      </c>
      <c r="D431" t="s">
        <v>2230</v>
      </c>
      <c r="E431" t="s">
        <v>2034</v>
      </c>
      <c r="F431" t="s">
        <v>655</v>
      </c>
      <c r="G431" t="s">
        <v>2039</v>
      </c>
    </row>
    <row r="432" spans="1:7" x14ac:dyDescent="0.25">
      <c r="A432" t="str">
        <f t="shared" si="39"/>
        <v>207RM1200X</v>
      </c>
      <c r="B432" t="str">
        <f t="shared" si="43"/>
        <v>26</v>
      </c>
      <c r="C432" t="str">
        <f t="shared" si="42"/>
        <v>018</v>
      </c>
      <c r="D432" t="s">
        <v>2230</v>
      </c>
      <c r="E432" t="s">
        <v>2034</v>
      </c>
      <c r="F432" t="s">
        <v>661</v>
      </c>
      <c r="G432" t="s">
        <v>2040</v>
      </c>
    </row>
    <row r="433" spans="1:7" x14ac:dyDescent="0.25">
      <c r="A433" t="str">
        <f t="shared" si="39"/>
        <v>207RS0010X</v>
      </c>
      <c r="B433" t="str">
        <f t="shared" si="43"/>
        <v>26</v>
      </c>
      <c r="C433" t="str">
        <f t="shared" si="42"/>
        <v>018</v>
      </c>
      <c r="D433" t="s">
        <v>2230</v>
      </c>
      <c r="E433" t="s">
        <v>2034</v>
      </c>
      <c r="F433" t="s">
        <v>669</v>
      </c>
      <c r="G433" t="s">
        <v>2041</v>
      </c>
    </row>
    <row r="434" spans="1:7" x14ac:dyDescent="0.25">
      <c r="A434" t="str">
        <f t="shared" si="39"/>
        <v>207RS0012X</v>
      </c>
      <c r="B434" t="str">
        <f t="shared" si="43"/>
        <v>26</v>
      </c>
      <c r="C434" t="str">
        <f t="shared" si="42"/>
        <v>018</v>
      </c>
      <c r="D434" t="s">
        <v>2230</v>
      </c>
      <c r="E434" t="s">
        <v>2034</v>
      </c>
      <c r="F434" t="s">
        <v>671</v>
      </c>
      <c r="G434" t="s">
        <v>2042</v>
      </c>
    </row>
    <row r="435" spans="1:7" x14ac:dyDescent="0.25">
      <c r="A435" t="str">
        <f t="shared" si="39"/>
        <v>2084E0001X</v>
      </c>
      <c r="B435" t="str">
        <f t="shared" si="43"/>
        <v>26</v>
      </c>
      <c r="C435" t="str">
        <f t="shared" si="42"/>
        <v>018</v>
      </c>
      <c r="D435" t="s">
        <v>2230</v>
      </c>
      <c r="E435" t="s">
        <v>2034</v>
      </c>
      <c r="F435" t="s">
        <v>1964</v>
      </c>
      <c r="G435" t="s">
        <v>1965</v>
      </c>
    </row>
    <row r="436" spans="1:7" x14ac:dyDescent="0.25">
      <c r="A436" t="str">
        <f t="shared" si="39"/>
        <v>261QI0500X</v>
      </c>
      <c r="B436" t="str">
        <f t="shared" si="43"/>
        <v>26</v>
      </c>
      <c r="C436" t="str">
        <f t="shared" si="42"/>
        <v>018</v>
      </c>
      <c r="D436" t="s">
        <v>2230</v>
      </c>
      <c r="E436" t="s">
        <v>2034</v>
      </c>
      <c r="F436" t="s">
        <v>1401</v>
      </c>
      <c r="G436" t="s">
        <v>1940</v>
      </c>
    </row>
    <row r="437" spans="1:7" x14ac:dyDescent="0.25">
      <c r="A437" t="str">
        <f t="shared" si="39"/>
        <v>2080N0001X</v>
      </c>
      <c r="B437" t="str">
        <f t="shared" si="43"/>
        <v>26</v>
      </c>
      <c r="C437" t="str">
        <f>"019"</f>
        <v>019</v>
      </c>
      <c r="D437" t="s">
        <v>2230</v>
      </c>
      <c r="E437" t="s">
        <v>2043</v>
      </c>
      <c r="F437" t="s">
        <v>811</v>
      </c>
      <c r="G437" t="s">
        <v>2044</v>
      </c>
    </row>
    <row r="438" spans="1:7" x14ac:dyDescent="0.25">
      <c r="A438" t="str">
        <f t="shared" si="39"/>
        <v>207RN0300X</v>
      </c>
      <c r="B438" t="str">
        <f t="shared" si="43"/>
        <v>26</v>
      </c>
      <c r="C438" t="str">
        <f>"021"</f>
        <v>021</v>
      </c>
      <c r="D438" t="s">
        <v>2230</v>
      </c>
      <c r="E438" t="s">
        <v>2045</v>
      </c>
      <c r="F438" t="s">
        <v>663</v>
      </c>
      <c r="G438" t="s">
        <v>2046</v>
      </c>
    </row>
    <row r="439" spans="1:7" x14ac:dyDescent="0.25">
      <c r="A439" t="str">
        <f t="shared" si="39"/>
        <v>2084B0002X</v>
      </c>
      <c r="B439" t="str">
        <f t="shared" si="43"/>
        <v>26</v>
      </c>
      <c r="C439" t="str">
        <f t="shared" ref="C439:C452" si="44">"022"</f>
        <v>022</v>
      </c>
      <c r="D439" t="s">
        <v>2230</v>
      </c>
      <c r="E439" t="s">
        <v>2047</v>
      </c>
      <c r="F439" t="s">
        <v>893</v>
      </c>
      <c r="G439" t="s">
        <v>2048</v>
      </c>
    </row>
    <row r="440" spans="1:7" x14ac:dyDescent="0.25">
      <c r="A440" t="str">
        <f t="shared" si="39"/>
        <v>2084B0040X</v>
      </c>
      <c r="B440" t="str">
        <f t="shared" si="43"/>
        <v>26</v>
      </c>
      <c r="C440" t="str">
        <f t="shared" si="44"/>
        <v>022</v>
      </c>
      <c r="D440" t="s">
        <v>2230</v>
      </c>
      <c r="E440" t="s">
        <v>2047</v>
      </c>
      <c r="F440" t="s">
        <v>895</v>
      </c>
      <c r="G440" t="s">
        <v>2049</v>
      </c>
    </row>
    <row r="441" spans="1:7" x14ac:dyDescent="0.25">
      <c r="A441" t="str">
        <f t="shared" si="39"/>
        <v>2084E0001X</v>
      </c>
      <c r="B441" t="str">
        <f t="shared" si="43"/>
        <v>26</v>
      </c>
      <c r="C441" t="str">
        <f t="shared" si="44"/>
        <v>022</v>
      </c>
      <c r="D441" t="s">
        <v>2230</v>
      </c>
      <c r="E441" t="s">
        <v>2047</v>
      </c>
      <c r="F441" t="s">
        <v>1964</v>
      </c>
      <c r="G441" t="s">
        <v>1965</v>
      </c>
    </row>
    <row r="442" spans="1:7" x14ac:dyDescent="0.25">
      <c r="A442" t="str">
        <f t="shared" si="39"/>
        <v>2084H0002X</v>
      </c>
      <c r="B442" t="str">
        <f t="shared" si="43"/>
        <v>26</v>
      </c>
      <c r="C442" t="str">
        <f t="shared" si="44"/>
        <v>022</v>
      </c>
      <c r="D442" t="s">
        <v>2230</v>
      </c>
      <c r="E442" t="s">
        <v>2047</v>
      </c>
      <c r="F442" t="s">
        <v>901</v>
      </c>
      <c r="G442" t="s">
        <v>2051</v>
      </c>
    </row>
    <row r="443" spans="1:7" x14ac:dyDescent="0.25">
      <c r="A443" t="str">
        <f t="shared" si="39"/>
        <v>2084N0008X</v>
      </c>
      <c r="B443" t="str">
        <f t="shared" si="43"/>
        <v>26</v>
      </c>
      <c r="C443" t="str">
        <f t="shared" si="44"/>
        <v>022</v>
      </c>
      <c r="D443" t="s">
        <v>2230</v>
      </c>
      <c r="E443" t="s">
        <v>2047</v>
      </c>
      <c r="F443" t="s">
        <v>903</v>
      </c>
      <c r="G443" t="s">
        <v>2052</v>
      </c>
    </row>
    <row r="444" spans="1:7" x14ac:dyDescent="0.25">
      <c r="A444" t="str">
        <f t="shared" si="39"/>
        <v>2084N0400X</v>
      </c>
      <c r="B444" t="str">
        <f t="shared" si="43"/>
        <v>26</v>
      </c>
      <c r="C444" t="str">
        <f t="shared" si="44"/>
        <v>022</v>
      </c>
      <c r="D444" t="s">
        <v>2230</v>
      </c>
      <c r="E444" t="s">
        <v>2047</v>
      </c>
      <c r="F444" t="s">
        <v>905</v>
      </c>
      <c r="G444" t="s">
        <v>2053</v>
      </c>
    </row>
    <row r="445" spans="1:7" x14ac:dyDescent="0.25">
      <c r="A445" t="str">
        <f t="shared" si="39"/>
        <v>2084N0600X</v>
      </c>
      <c r="B445" t="str">
        <f t="shared" si="43"/>
        <v>26</v>
      </c>
      <c r="C445" t="str">
        <f t="shared" si="44"/>
        <v>022</v>
      </c>
      <c r="D445" t="s">
        <v>2230</v>
      </c>
      <c r="E445" t="s">
        <v>2047</v>
      </c>
      <c r="F445" t="s">
        <v>909</v>
      </c>
      <c r="G445" t="s">
        <v>2054</v>
      </c>
    </row>
    <row r="446" spans="1:7" x14ac:dyDescent="0.25">
      <c r="A446" t="str">
        <f t="shared" si="39"/>
        <v>2084P0005X</v>
      </c>
      <c r="B446" t="str">
        <f t="shared" si="43"/>
        <v>26</v>
      </c>
      <c r="C446" t="str">
        <f t="shared" si="44"/>
        <v>022</v>
      </c>
      <c r="D446" t="s">
        <v>2230</v>
      </c>
      <c r="E446" t="s">
        <v>2047</v>
      </c>
      <c r="F446" t="s">
        <v>911</v>
      </c>
      <c r="G446" t="s">
        <v>2055</v>
      </c>
    </row>
    <row r="447" spans="1:7" x14ac:dyDescent="0.25">
      <c r="A447" t="str">
        <f t="shared" si="39"/>
        <v>2084P0015X</v>
      </c>
      <c r="B447" t="str">
        <f t="shared" si="43"/>
        <v>26</v>
      </c>
      <c r="C447" t="str">
        <f t="shared" si="44"/>
        <v>022</v>
      </c>
      <c r="D447" t="s">
        <v>2230</v>
      </c>
      <c r="E447" t="s">
        <v>2047</v>
      </c>
      <c r="F447" t="s">
        <v>913</v>
      </c>
      <c r="G447" t="s">
        <v>2056</v>
      </c>
    </row>
    <row r="448" spans="1:7" x14ac:dyDescent="0.25">
      <c r="A448" t="str">
        <f t="shared" si="39"/>
        <v>2084P0301X</v>
      </c>
      <c r="B448" t="str">
        <f t="shared" si="43"/>
        <v>26</v>
      </c>
      <c r="C448" t="str">
        <f t="shared" si="44"/>
        <v>022</v>
      </c>
      <c r="D448" t="s">
        <v>2230</v>
      </c>
      <c r="E448" t="s">
        <v>2047</v>
      </c>
      <c r="F448" t="s">
        <v>915</v>
      </c>
      <c r="G448" t="s">
        <v>2057</v>
      </c>
    </row>
    <row r="449" spans="1:7" x14ac:dyDescent="0.25">
      <c r="A449" t="str">
        <f t="shared" si="39"/>
        <v>2084P0805X</v>
      </c>
      <c r="B449" t="str">
        <f t="shared" si="43"/>
        <v>26</v>
      </c>
      <c r="C449" t="str">
        <f t="shared" si="44"/>
        <v>022</v>
      </c>
      <c r="D449" t="s">
        <v>2230</v>
      </c>
      <c r="E449" t="s">
        <v>2047</v>
      </c>
      <c r="F449" t="s">
        <v>923</v>
      </c>
      <c r="G449" t="s">
        <v>2058</v>
      </c>
    </row>
    <row r="450" spans="1:7" x14ac:dyDescent="0.25">
      <c r="A450" t="str">
        <f t="shared" si="39"/>
        <v>2084P2900X</v>
      </c>
      <c r="B450" t="str">
        <f t="shared" si="43"/>
        <v>26</v>
      </c>
      <c r="C450" t="str">
        <f t="shared" si="44"/>
        <v>022</v>
      </c>
      <c r="D450" t="s">
        <v>2230</v>
      </c>
      <c r="E450" t="s">
        <v>2047</v>
      </c>
      <c r="F450" t="s">
        <v>925</v>
      </c>
      <c r="G450" t="s">
        <v>2059</v>
      </c>
    </row>
    <row r="451" spans="1:7" x14ac:dyDescent="0.25">
      <c r="A451" t="str">
        <f t="shared" ref="A451:A514" si="45">CLEAN(F451)</f>
        <v>2084S0012X</v>
      </c>
      <c r="B451" t="str">
        <f t="shared" si="43"/>
        <v>26</v>
      </c>
      <c r="C451" t="str">
        <f t="shared" si="44"/>
        <v>022</v>
      </c>
      <c r="D451" t="s">
        <v>2230</v>
      </c>
      <c r="E451" t="s">
        <v>2047</v>
      </c>
      <c r="F451" t="s">
        <v>929</v>
      </c>
      <c r="G451" t="s">
        <v>2061</v>
      </c>
    </row>
    <row r="452" spans="1:7" x14ac:dyDescent="0.25">
      <c r="A452" t="str">
        <f t="shared" si="45"/>
        <v>2084V0102X</v>
      </c>
      <c r="B452" t="str">
        <f t="shared" si="43"/>
        <v>26</v>
      </c>
      <c r="C452" t="str">
        <f t="shared" si="44"/>
        <v>022</v>
      </c>
      <c r="D452" t="s">
        <v>2230</v>
      </c>
      <c r="E452" t="s">
        <v>2047</v>
      </c>
      <c r="F452" t="s">
        <v>931</v>
      </c>
      <c r="G452" t="s">
        <v>2062</v>
      </c>
    </row>
    <row r="453" spans="1:7" x14ac:dyDescent="0.25">
      <c r="A453" t="str">
        <f t="shared" si="45"/>
        <v>2084E0001X</v>
      </c>
      <c r="B453" t="str">
        <f t="shared" si="43"/>
        <v>26</v>
      </c>
      <c r="C453" t="str">
        <f>"023"</f>
        <v>023</v>
      </c>
      <c r="D453" t="s">
        <v>2230</v>
      </c>
      <c r="E453" t="s">
        <v>2063</v>
      </c>
      <c r="F453" t="s">
        <v>1964</v>
      </c>
      <c r="G453" t="s">
        <v>1965</v>
      </c>
    </row>
    <row r="454" spans="1:7" x14ac:dyDescent="0.25">
      <c r="A454" t="str">
        <f t="shared" si="45"/>
        <v>2084N0402X</v>
      </c>
      <c r="B454" t="str">
        <f t="shared" si="43"/>
        <v>26</v>
      </c>
      <c r="C454" t="str">
        <f>"023"</f>
        <v>023</v>
      </c>
      <c r="D454" t="s">
        <v>2230</v>
      </c>
      <c r="E454" t="s">
        <v>2063</v>
      </c>
      <c r="F454" t="s">
        <v>907</v>
      </c>
      <c r="G454" t="s">
        <v>2064</v>
      </c>
    </row>
    <row r="455" spans="1:7" x14ac:dyDescent="0.25">
      <c r="A455" t="str">
        <f t="shared" si="45"/>
        <v>2084P0005X</v>
      </c>
      <c r="B455" t="str">
        <f t="shared" si="43"/>
        <v>26</v>
      </c>
      <c r="C455" t="str">
        <f>"023"</f>
        <v>023</v>
      </c>
      <c r="D455" t="s">
        <v>2230</v>
      </c>
      <c r="E455" t="s">
        <v>2063</v>
      </c>
      <c r="F455" t="s">
        <v>911</v>
      </c>
      <c r="G455" t="s">
        <v>2055</v>
      </c>
    </row>
    <row r="456" spans="1:7" x14ac:dyDescent="0.25">
      <c r="A456" t="str">
        <f t="shared" si="45"/>
        <v>2084P0301X</v>
      </c>
      <c r="B456" t="str">
        <f t="shared" si="43"/>
        <v>26</v>
      </c>
      <c r="C456" t="str">
        <f>"023"</f>
        <v>023</v>
      </c>
      <c r="D456" t="s">
        <v>2230</v>
      </c>
      <c r="E456" t="s">
        <v>2063</v>
      </c>
      <c r="F456" t="s">
        <v>915</v>
      </c>
      <c r="G456" t="s">
        <v>2057</v>
      </c>
    </row>
    <row r="457" spans="1:7" x14ac:dyDescent="0.25">
      <c r="A457" t="str">
        <f t="shared" si="45"/>
        <v>207ZN0500X</v>
      </c>
      <c r="B457" t="str">
        <f t="shared" si="43"/>
        <v>26</v>
      </c>
      <c r="C457" t="str">
        <f>"024"</f>
        <v>024</v>
      </c>
      <c r="D457" t="s">
        <v>2230</v>
      </c>
      <c r="E457" t="s">
        <v>2065</v>
      </c>
      <c r="F457" t="s">
        <v>785</v>
      </c>
      <c r="G457" t="s">
        <v>2066</v>
      </c>
    </row>
    <row r="458" spans="1:7" x14ac:dyDescent="0.25">
      <c r="A458" t="str">
        <f t="shared" si="45"/>
        <v>2084E0001X</v>
      </c>
      <c r="B458" t="str">
        <f t="shared" si="43"/>
        <v>26</v>
      </c>
      <c r="C458" t="str">
        <f>"024"</f>
        <v>024</v>
      </c>
      <c r="D458" t="s">
        <v>2230</v>
      </c>
      <c r="E458" t="s">
        <v>2065</v>
      </c>
      <c r="F458" t="s">
        <v>1964</v>
      </c>
      <c r="G458" t="s">
        <v>1965</v>
      </c>
    </row>
    <row r="459" spans="1:7" x14ac:dyDescent="0.25">
      <c r="A459" t="str">
        <f t="shared" si="45"/>
        <v>207VX0000X</v>
      </c>
      <c r="B459" t="str">
        <f t="shared" si="43"/>
        <v>26</v>
      </c>
      <c r="C459" t="str">
        <f>"026"</f>
        <v>026</v>
      </c>
      <c r="D459" t="s">
        <v>2230</v>
      </c>
      <c r="E459" t="s">
        <v>2067</v>
      </c>
      <c r="F459" t="s">
        <v>715</v>
      </c>
      <c r="G459" t="s">
        <v>2068</v>
      </c>
    </row>
    <row r="460" spans="1:7" x14ac:dyDescent="0.25">
      <c r="A460" t="str">
        <f t="shared" si="45"/>
        <v>207V00000X</v>
      </c>
      <c r="B460" t="str">
        <f t="shared" si="43"/>
        <v>26</v>
      </c>
      <c r="C460" t="str">
        <f t="shared" ref="C460:C466" si="46">"027"</f>
        <v>027</v>
      </c>
      <c r="D460" t="s">
        <v>2230</v>
      </c>
      <c r="E460" t="s">
        <v>2069</v>
      </c>
      <c r="F460" t="s">
        <v>699</v>
      </c>
      <c r="G460" t="s">
        <v>2070</v>
      </c>
    </row>
    <row r="461" spans="1:7" x14ac:dyDescent="0.25">
      <c r="A461" t="str">
        <f t="shared" si="45"/>
        <v>207VB0002X</v>
      </c>
      <c r="B461" t="str">
        <f t="shared" si="43"/>
        <v>26</v>
      </c>
      <c r="C461" t="str">
        <f t="shared" si="46"/>
        <v>027</v>
      </c>
      <c r="D461" t="s">
        <v>2230</v>
      </c>
      <c r="E461" t="s">
        <v>2069</v>
      </c>
      <c r="F461" t="s">
        <v>701</v>
      </c>
      <c r="G461" t="s">
        <v>2071</v>
      </c>
    </row>
    <row r="462" spans="1:7" x14ac:dyDescent="0.25">
      <c r="A462" t="str">
        <f t="shared" si="45"/>
        <v>207VC0200X</v>
      </c>
      <c r="B462" t="str">
        <f t="shared" si="43"/>
        <v>26</v>
      </c>
      <c r="C462" t="str">
        <f t="shared" si="46"/>
        <v>027</v>
      </c>
      <c r="D462" t="s">
        <v>2230</v>
      </c>
      <c r="E462" t="s">
        <v>2069</v>
      </c>
      <c r="F462" t="s">
        <v>703</v>
      </c>
      <c r="G462" t="s">
        <v>2072</v>
      </c>
    </row>
    <row r="463" spans="1:7" x14ac:dyDescent="0.25">
      <c r="A463" t="str">
        <f t="shared" si="45"/>
        <v>207VC0300X</v>
      </c>
      <c r="B463" t="str">
        <f t="shared" si="43"/>
        <v>26</v>
      </c>
      <c r="C463" t="str">
        <f t="shared" si="46"/>
        <v>027</v>
      </c>
      <c r="D463" t="s">
        <v>2230</v>
      </c>
      <c r="E463" t="s">
        <v>2069</v>
      </c>
      <c r="F463" t="s">
        <v>2073</v>
      </c>
      <c r="G463" t="s">
        <v>2074</v>
      </c>
    </row>
    <row r="464" spans="1:7" x14ac:dyDescent="0.25">
      <c r="A464" t="str">
        <f t="shared" si="45"/>
        <v>207VE0102X</v>
      </c>
      <c r="B464" t="str">
        <f t="shared" si="43"/>
        <v>26</v>
      </c>
      <c r="C464" t="str">
        <f t="shared" si="46"/>
        <v>027</v>
      </c>
      <c r="D464" t="s">
        <v>2230</v>
      </c>
      <c r="E464" t="s">
        <v>2069</v>
      </c>
      <c r="F464" t="s">
        <v>705</v>
      </c>
      <c r="G464" t="s">
        <v>2075</v>
      </c>
    </row>
    <row r="465" spans="1:7" x14ac:dyDescent="0.25">
      <c r="A465" t="str">
        <f t="shared" si="45"/>
        <v>207VF0040X</v>
      </c>
      <c r="B465" t="str">
        <f t="shared" si="43"/>
        <v>26</v>
      </c>
      <c r="C465" t="str">
        <f t="shared" si="46"/>
        <v>027</v>
      </c>
      <c r="D465" t="s">
        <v>2230</v>
      </c>
      <c r="E465" t="s">
        <v>2069</v>
      </c>
      <c r="F465" t="s">
        <v>707</v>
      </c>
      <c r="G465" t="s">
        <v>2076</v>
      </c>
    </row>
    <row r="466" spans="1:7" x14ac:dyDescent="0.25">
      <c r="A466" t="str">
        <f t="shared" si="45"/>
        <v>207VH0002X</v>
      </c>
      <c r="B466" t="str">
        <f t="shared" si="43"/>
        <v>26</v>
      </c>
      <c r="C466" t="str">
        <f t="shared" si="46"/>
        <v>027</v>
      </c>
      <c r="D466" t="s">
        <v>2230</v>
      </c>
      <c r="E466" t="s">
        <v>2069</v>
      </c>
      <c r="F466" t="s">
        <v>711</v>
      </c>
      <c r="G466" t="s">
        <v>2077</v>
      </c>
    </row>
    <row r="467" spans="1:7" x14ac:dyDescent="0.25">
      <c r="A467" t="str">
        <f t="shared" si="45"/>
        <v>2083X0100X</v>
      </c>
      <c r="B467" t="str">
        <f t="shared" si="43"/>
        <v>26</v>
      </c>
      <c r="C467" t="str">
        <f>"028"</f>
        <v>028</v>
      </c>
      <c r="D467" t="s">
        <v>2230</v>
      </c>
      <c r="E467" t="s">
        <v>2078</v>
      </c>
      <c r="F467" t="s">
        <v>887</v>
      </c>
      <c r="G467" t="s">
        <v>2079</v>
      </c>
    </row>
    <row r="468" spans="1:7" x14ac:dyDescent="0.25">
      <c r="A468" t="str">
        <f t="shared" si="45"/>
        <v>207RH0003X</v>
      </c>
      <c r="B468" t="str">
        <f t="shared" si="43"/>
        <v>26</v>
      </c>
      <c r="C468" t="str">
        <f>"029"</f>
        <v>029</v>
      </c>
      <c r="D468" t="s">
        <v>2230</v>
      </c>
      <c r="E468" t="s">
        <v>2080</v>
      </c>
      <c r="F468" t="s">
        <v>649</v>
      </c>
      <c r="G468" t="s">
        <v>2232</v>
      </c>
    </row>
    <row r="469" spans="1:7" x14ac:dyDescent="0.25">
      <c r="A469" t="str">
        <f t="shared" si="45"/>
        <v>207RX0202X</v>
      </c>
      <c r="B469" t="str">
        <f t="shared" si="43"/>
        <v>26</v>
      </c>
      <c r="C469" t="str">
        <f>"029"</f>
        <v>029</v>
      </c>
      <c r="D469" t="s">
        <v>2230</v>
      </c>
      <c r="E469" t="s">
        <v>2080</v>
      </c>
      <c r="F469" t="s">
        <v>675</v>
      </c>
      <c r="G469" t="s">
        <v>2081</v>
      </c>
    </row>
    <row r="470" spans="1:7" x14ac:dyDescent="0.25">
      <c r="A470" t="str">
        <f t="shared" si="45"/>
        <v>207W00000X</v>
      </c>
      <c r="B470" t="str">
        <f t="shared" si="43"/>
        <v>26</v>
      </c>
      <c r="C470" t="str">
        <f>"030"</f>
        <v>030</v>
      </c>
      <c r="D470" t="s">
        <v>2230</v>
      </c>
      <c r="E470" t="s">
        <v>2082</v>
      </c>
      <c r="F470" t="s">
        <v>719</v>
      </c>
      <c r="G470" t="s">
        <v>2082</v>
      </c>
    </row>
    <row r="471" spans="1:7" x14ac:dyDescent="0.25">
      <c r="A471" t="str">
        <f t="shared" si="45"/>
        <v>207WX0009X</v>
      </c>
      <c r="B471" t="str">
        <f t="shared" si="43"/>
        <v>26</v>
      </c>
      <c r="C471" t="str">
        <f>"030"</f>
        <v>030</v>
      </c>
      <c r="D471" t="s">
        <v>2230</v>
      </c>
      <c r="E471" t="s">
        <v>2082</v>
      </c>
      <c r="F471" t="s">
        <v>721</v>
      </c>
      <c r="G471" t="s">
        <v>2233</v>
      </c>
    </row>
    <row r="472" spans="1:7" x14ac:dyDescent="0.25">
      <c r="A472" t="str">
        <f t="shared" si="45"/>
        <v>207WX0107X</v>
      </c>
      <c r="B472" t="str">
        <f t="shared" si="43"/>
        <v>26</v>
      </c>
      <c r="C472" t="str">
        <f>"030"</f>
        <v>030</v>
      </c>
      <c r="D472" t="s">
        <v>2230</v>
      </c>
      <c r="E472" t="s">
        <v>2082</v>
      </c>
      <c r="F472" t="s">
        <v>723</v>
      </c>
      <c r="G472" t="s">
        <v>2234</v>
      </c>
    </row>
    <row r="473" spans="1:7" x14ac:dyDescent="0.25">
      <c r="A473" t="str">
        <f t="shared" si="45"/>
        <v>207WX0108X</v>
      </c>
      <c r="B473" t="str">
        <f t="shared" si="43"/>
        <v>26</v>
      </c>
      <c r="C473" t="str">
        <f>"030"</f>
        <v>030</v>
      </c>
      <c r="D473" t="s">
        <v>2230</v>
      </c>
      <c r="E473" t="s">
        <v>2082</v>
      </c>
      <c r="F473" t="s">
        <v>725</v>
      </c>
      <c r="G473" t="s">
        <v>2235</v>
      </c>
    </row>
    <row r="474" spans="1:7" x14ac:dyDescent="0.25">
      <c r="A474" t="str">
        <f t="shared" si="45"/>
        <v>207WX0200X</v>
      </c>
      <c r="B474" t="str">
        <f t="shared" si="43"/>
        <v>26</v>
      </c>
      <c r="C474" t="str">
        <f>"030"</f>
        <v>030</v>
      </c>
      <c r="D474" t="s">
        <v>2230</v>
      </c>
      <c r="E474" t="s">
        <v>2082</v>
      </c>
      <c r="F474" t="s">
        <v>733</v>
      </c>
      <c r="G474" t="s">
        <v>2083</v>
      </c>
    </row>
    <row r="475" spans="1:7" x14ac:dyDescent="0.25">
      <c r="A475" t="str">
        <f t="shared" si="45"/>
        <v>207Y00000X</v>
      </c>
      <c r="B475" t="str">
        <f t="shared" si="43"/>
        <v>26</v>
      </c>
      <c r="C475" t="str">
        <f t="shared" ref="C475:C482" si="47">"031"</f>
        <v>031</v>
      </c>
      <c r="D475" t="s">
        <v>2230</v>
      </c>
      <c r="E475" t="s">
        <v>2084</v>
      </c>
      <c r="F475" t="s">
        <v>751</v>
      </c>
      <c r="G475" t="s">
        <v>2084</v>
      </c>
    </row>
    <row r="476" spans="1:7" x14ac:dyDescent="0.25">
      <c r="A476" t="str">
        <f t="shared" si="45"/>
        <v>207YP0228X</v>
      </c>
      <c r="B476" t="str">
        <f t="shared" si="43"/>
        <v>26</v>
      </c>
      <c r="C476" t="str">
        <f t="shared" si="47"/>
        <v>031</v>
      </c>
      <c r="D476" t="s">
        <v>2230</v>
      </c>
      <c r="E476" t="s">
        <v>2084</v>
      </c>
      <c r="F476" t="s">
        <v>753</v>
      </c>
      <c r="G476" t="s">
        <v>2085</v>
      </c>
    </row>
    <row r="477" spans="1:7" x14ac:dyDescent="0.25">
      <c r="A477" t="str">
        <f t="shared" si="45"/>
        <v>207YS0012X</v>
      </c>
      <c r="B477" t="str">
        <f t="shared" si="43"/>
        <v>26</v>
      </c>
      <c r="C477" t="str">
        <f t="shared" si="47"/>
        <v>031</v>
      </c>
      <c r="D477" t="s">
        <v>2230</v>
      </c>
      <c r="E477" t="s">
        <v>2084</v>
      </c>
      <c r="F477" t="s">
        <v>755</v>
      </c>
      <c r="G477" t="s">
        <v>2086</v>
      </c>
    </row>
    <row r="478" spans="1:7" x14ac:dyDescent="0.25">
      <c r="A478" t="str">
        <f t="shared" si="45"/>
        <v>207YS0123X</v>
      </c>
      <c r="B478" t="str">
        <f t="shared" si="43"/>
        <v>26</v>
      </c>
      <c r="C478" t="str">
        <f t="shared" si="47"/>
        <v>031</v>
      </c>
      <c r="D478" t="s">
        <v>2230</v>
      </c>
      <c r="E478" t="s">
        <v>2084</v>
      </c>
      <c r="F478" t="s">
        <v>757</v>
      </c>
      <c r="G478" t="s">
        <v>2087</v>
      </c>
    </row>
    <row r="479" spans="1:7" x14ac:dyDescent="0.25">
      <c r="A479" t="str">
        <f t="shared" si="45"/>
        <v>207YX0007X</v>
      </c>
      <c r="B479" t="str">
        <f t="shared" si="43"/>
        <v>26</v>
      </c>
      <c r="C479" t="str">
        <f t="shared" si="47"/>
        <v>031</v>
      </c>
      <c r="D479" t="s">
        <v>2230</v>
      </c>
      <c r="E479" t="s">
        <v>2084</v>
      </c>
      <c r="F479" t="s">
        <v>759</v>
      </c>
      <c r="G479" t="s">
        <v>2088</v>
      </c>
    </row>
    <row r="480" spans="1:7" x14ac:dyDescent="0.25">
      <c r="A480" t="str">
        <f t="shared" si="45"/>
        <v>207YX0602X</v>
      </c>
      <c r="B480" t="str">
        <f t="shared" si="43"/>
        <v>26</v>
      </c>
      <c r="C480" t="str">
        <f t="shared" si="47"/>
        <v>031</v>
      </c>
      <c r="D480" t="s">
        <v>2230</v>
      </c>
      <c r="E480" t="s">
        <v>2084</v>
      </c>
      <c r="F480" t="s">
        <v>761</v>
      </c>
      <c r="G480" t="s">
        <v>2089</v>
      </c>
    </row>
    <row r="481" spans="1:7" x14ac:dyDescent="0.25">
      <c r="A481" t="str">
        <f t="shared" si="45"/>
        <v>207YX0901X</v>
      </c>
      <c r="B481" t="str">
        <f t="shared" si="43"/>
        <v>26</v>
      </c>
      <c r="C481" t="str">
        <f t="shared" si="47"/>
        <v>031</v>
      </c>
      <c r="D481" t="s">
        <v>2230</v>
      </c>
      <c r="E481" t="s">
        <v>2084</v>
      </c>
      <c r="F481" t="s">
        <v>763</v>
      </c>
      <c r="G481" t="s">
        <v>2090</v>
      </c>
    </row>
    <row r="482" spans="1:7" x14ac:dyDescent="0.25">
      <c r="A482" t="str">
        <f t="shared" si="45"/>
        <v>207YX0905X</v>
      </c>
      <c r="B482" t="str">
        <f t="shared" si="43"/>
        <v>26</v>
      </c>
      <c r="C482" t="str">
        <f t="shared" si="47"/>
        <v>031</v>
      </c>
      <c r="D482" t="s">
        <v>2230</v>
      </c>
      <c r="E482" t="s">
        <v>2084</v>
      </c>
      <c r="F482" t="s">
        <v>765</v>
      </c>
      <c r="G482" t="s">
        <v>2091</v>
      </c>
    </row>
    <row r="483" spans="1:7" x14ac:dyDescent="0.25">
      <c r="A483" t="str">
        <f t="shared" si="45"/>
        <v>207SM0001X</v>
      </c>
      <c r="B483" t="str">
        <f t="shared" si="43"/>
        <v>26</v>
      </c>
      <c r="C483" t="str">
        <f t="shared" ref="C483:C495" si="48">"032"</f>
        <v>032</v>
      </c>
      <c r="D483" t="s">
        <v>2230</v>
      </c>
      <c r="E483" t="s">
        <v>2092</v>
      </c>
      <c r="F483" t="s">
        <v>687</v>
      </c>
      <c r="G483" t="s">
        <v>2093</v>
      </c>
    </row>
    <row r="484" spans="1:7" x14ac:dyDescent="0.25">
      <c r="A484" t="str">
        <f t="shared" si="45"/>
        <v>207ZB0001X</v>
      </c>
      <c r="B484" t="str">
        <f t="shared" si="43"/>
        <v>26</v>
      </c>
      <c r="C484" t="str">
        <f t="shared" si="48"/>
        <v>032</v>
      </c>
      <c r="D484" t="s">
        <v>2230</v>
      </c>
      <c r="E484" t="s">
        <v>2092</v>
      </c>
      <c r="F484" t="s">
        <v>767</v>
      </c>
      <c r="G484" t="s">
        <v>2094</v>
      </c>
    </row>
    <row r="485" spans="1:7" x14ac:dyDescent="0.25">
      <c r="A485" t="str">
        <f t="shared" si="45"/>
        <v>207ZC0006X</v>
      </c>
      <c r="B485" t="str">
        <f t="shared" si="43"/>
        <v>26</v>
      </c>
      <c r="C485" t="str">
        <f t="shared" si="48"/>
        <v>032</v>
      </c>
      <c r="D485" t="s">
        <v>2230</v>
      </c>
      <c r="E485" t="s">
        <v>2092</v>
      </c>
      <c r="F485" t="s">
        <v>769</v>
      </c>
      <c r="G485" t="s">
        <v>2095</v>
      </c>
    </row>
    <row r="486" spans="1:7" x14ac:dyDescent="0.25">
      <c r="A486" t="str">
        <f t="shared" si="45"/>
        <v>207ZC0500X</v>
      </c>
      <c r="B486" t="str">
        <f t="shared" si="43"/>
        <v>26</v>
      </c>
      <c r="C486" t="str">
        <f t="shared" si="48"/>
        <v>032</v>
      </c>
      <c r="D486" t="s">
        <v>2230</v>
      </c>
      <c r="E486" t="s">
        <v>2092</v>
      </c>
      <c r="F486" t="s">
        <v>773</v>
      </c>
      <c r="G486" t="s">
        <v>2097</v>
      </c>
    </row>
    <row r="487" spans="1:7" x14ac:dyDescent="0.25">
      <c r="A487" t="str">
        <f t="shared" si="45"/>
        <v>207ZD0900X</v>
      </c>
      <c r="B487" t="str">
        <f t="shared" si="43"/>
        <v>26</v>
      </c>
      <c r="C487" t="str">
        <f t="shared" si="48"/>
        <v>032</v>
      </c>
      <c r="D487" t="s">
        <v>2230</v>
      </c>
      <c r="E487" t="s">
        <v>2092</v>
      </c>
      <c r="F487" t="s">
        <v>775</v>
      </c>
      <c r="G487" t="s">
        <v>2098</v>
      </c>
    </row>
    <row r="488" spans="1:7" x14ac:dyDescent="0.25">
      <c r="A488" t="str">
        <f t="shared" si="45"/>
        <v>207ZI0100X</v>
      </c>
      <c r="B488" t="str">
        <f t="shared" si="43"/>
        <v>26</v>
      </c>
      <c r="C488" t="str">
        <f t="shared" si="48"/>
        <v>032</v>
      </c>
      <c r="D488" t="s">
        <v>2230</v>
      </c>
      <c r="E488" t="s">
        <v>2092</v>
      </c>
      <c r="F488" t="s">
        <v>781</v>
      </c>
      <c r="G488" t="s">
        <v>2099</v>
      </c>
    </row>
    <row r="489" spans="1:7" x14ac:dyDescent="0.25">
      <c r="A489" t="str">
        <f t="shared" si="45"/>
        <v>207ZM0300X</v>
      </c>
      <c r="B489" t="str">
        <f t="shared" ref="B489:B552" si="49">"26"</f>
        <v>26</v>
      </c>
      <c r="C489" t="str">
        <f t="shared" si="48"/>
        <v>032</v>
      </c>
      <c r="D489" t="s">
        <v>2230</v>
      </c>
      <c r="E489" t="s">
        <v>2092</v>
      </c>
      <c r="F489" t="s">
        <v>783</v>
      </c>
      <c r="G489" t="s">
        <v>2100</v>
      </c>
    </row>
    <row r="490" spans="1:7" x14ac:dyDescent="0.25">
      <c r="A490" t="str">
        <f t="shared" si="45"/>
        <v>207ZP0007X</v>
      </c>
      <c r="B490" t="str">
        <f t="shared" si="49"/>
        <v>26</v>
      </c>
      <c r="C490" t="str">
        <f t="shared" si="48"/>
        <v>032</v>
      </c>
      <c r="D490" t="s">
        <v>2230</v>
      </c>
      <c r="E490" t="s">
        <v>2092</v>
      </c>
      <c r="F490" t="s">
        <v>787</v>
      </c>
      <c r="G490" t="s">
        <v>2101</v>
      </c>
    </row>
    <row r="491" spans="1:7" x14ac:dyDescent="0.25">
      <c r="A491" t="str">
        <f t="shared" si="45"/>
        <v>207ZP0101X</v>
      </c>
      <c r="B491" t="str">
        <f t="shared" si="49"/>
        <v>26</v>
      </c>
      <c r="C491" t="str">
        <f t="shared" si="48"/>
        <v>032</v>
      </c>
      <c r="D491" t="s">
        <v>2230</v>
      </c>
      <c r="E491" t="s">
        <v>2092</v>
      </c>
      <c r="F491" t="s">
        <v>789</v>
      </c>
      <c r="G491" t="s">
        <v>2102</v>
      </c>
    </row>
    <row r="492" spans="1:7" x14ac:dyDescent="0.25">
      <c r="A492" t="str">
        <f t="shared" si="45"/>
        <v>207ZP0102X</v>
      </c>
      <c r="B492" t="str">
        <f t="shared" si="49"/>
        <v>26</v>
      </c>
      <c r="C492" t="str">
        <f t="shared" si="48"/>
        <v>032</v>
      </c>
      <c r="D492" t="s">
        <v>2230</v>
      </c>
      <c r="E492" t="s">
        <v>2092</v>
      </c>
      <c r="F492" t="s">
        <v>791</v>
      </c>
      <c r="G492" t="s">
        <v>2103</v>
      </c>
    </row>
    <row r="493" spans="1:7" x14ac:dyDescent="0.25">
      <c r="A493" t="str">
        <f t="shared" si="45"/>
        <v>207ZP0104X</v>
      </c>
      <c r="B493" t="str">
        <f t="shared" si="49"/>
        <v>26</v>
      </c>
      <c r="C493" t="str">
        <f t="shared" si="48"/>
        <v>032</v>
      </c>
      <c r="D493" t="s">
        <v>2230</v>
      </c>
      <c r="E493" t="s">
        <v>2092</v>
      </c>
      <c r="F493" t="s">
        <v>793</v>
      </c>
      <c r="G493" t="s">
        <v>2104</v>
      </c>
    </row>
    <row r="494" spans="1:7" x14ac:dyDescent="0.25">
      <c r="A494" t="str">
        <f t="shared" si="45"/>
        <v>207ZP0105X</v>
      </c>
      <c r="B494" t="str">
        <f t="shared" si="49"/>
        <v>26</v>
      </c>
      <c r="C494" t="str">
        <f t="shared" si="48"/>
        <v>032</v>
      </c>
      <c r="D494" t="s">
        <v>2230</v>
      </c>
      <c r="E494" t="s">
        <v>2092</v>
      </c>
      <c r="F494" t="s">
        <v>795</v>
      </c>
      <c r="G494" t="s">
        <v>2105</v>
      </c>
    </row>
    <row r="495" spans="1:7" x14ac:dyDescent="0.25">
      <c r="A495" t="str">
        <f t="shared" si="45"/>
        <v>207ZP0213X</v>
      </c>
      <c r="B495" t="str">
        <f t="shared" si="49"/>
        <v>26</v>
      </c>
      <c r="C495" t="str">
        <f t="shared" si="48"/>
        <v>032</v>
      </c>
      <c r="D495" t="s">
        <v>2230</v>
      </c>
      <c r="E495" t="s">
        <v>2092</v>
      </c>
      <c r="F495" t="s">
        <v>797</v>
      </c>
      <c r="G495" t="s">
        <v>2106</v>
      </c>
    </row>
    <row r="496" spans="1:7" x14ac:dyDescent="0.25">
      <c r="A496" t="str">
        <f t="shared" si="45"/>
        <v>207SM0001X</v>
      </c>
      <c r="B496" t="str">
        <f t="shared" si="49"/>
        <v>26</v>
      </c>
      <c r="C496" t="str">
        <f t="shared" ref="C496:C501" si="50">"033"</f>
        <v>033</v>
      </c>
      <c r="D496" t="s">
        <v>2230</v>
      </c>
      <c r="E496" t="s">
        <v>2107</v>
      </c>
      <c r="F496" t="s">
        <v>687</v>
      </c>
      <c r="G496" t="s">
        <v>2093</v>
      </c>
    </row>
    <row r="497" spans="1:7" x14ac:dyDescent="0.25">
      <c r="A497" t="str">
        <f t="shared" si="45"/>
        <v>207ZC0006X</v>
      </c>
      <c r="B497" t="str">
        <f t="shared" si="49"/>
        <v>26</v>
      </c>
      <c r="C497" t="str">
        <f t="shared" si="50"/>
        <v>033</v>
      </c>
      <c r="D497" t="s">
        <v>2230</v>
      </c>
      <c r="E497" t="s">
        <v>2107</v>
      </c>
      <c r="F497" t="s">
        <v>769</v>
      </c>
      <c r="G497" t="s">
        <v>2095</v>
      </c>
    </row>
    <row r="498" spans="1:7" x14ac:dyDescent="0.25">
      <c r="A498" t="str">
        <f t="shared" si="45"/>
        <v>207ZC0500X</v>
      </c>
      <c r="B498" t="str">
        <f t="shared" si="49"/>
        <v>26</v>
      </c>
      <c r="C498" t="str">
        <f t="shared" si="50"/>
        <v>033</v>
      </c>
      <c r="D498" t="s">
        <v>2230</v>
      </c>
      <c r="E498" t="s">
        <v>2107</v>
      </c>
      <c r="F498" t="s">
        <v>773</v>
      </c>
      <c r="G498" t="s">
        <v>2097</v>
      </c>
    </row>
    <row r="499" spans="1:7" x14ac:dyDescent="0.25">
      <c r="A499" t="str">
        <f t="shared" si="45"/>
        <v>207ZD0900X</v>
      </c>
      <c r="B499" t="str">
        <f t="shared" si="49"/>
        <v>26</v>
      </c>
      <c r="C499" t="str">
        <f t="shared" si="50"/>
        <v>033</v>
      </c>
      <c r="D499" t="s">
        <v>2230</v>
      </c>
      <c r="E499" t="s">
        <v>2107</v>
      </c>
      <c r="F499" t="s">
        <v>775</v>
      </c>
      <c r="G499" t="s">
        <v>2098</v>
      </c>
    </row>
    <row r="500" spans="1:7" x14ac:dyDescent="0.25">
      <c r="A500" t="str">
        <f t="shared" si="45"/>
        <v>207ZP0104X</v>
      </c>
      <c r="B500" t="str">
        <f t="shared" si="49"/>
        <v>26</v>
      </c>
      <c r="C500" t="str">
        <f t="shared" si="50"/>
        <v>033</v>
      </c>
      <c r="D500" t="s">
        <v>2230</v>
      </c>
      <c r="E500" t="s">
        <v>2107</v>
      </c>
      <c r="F500" t="s">
        <v>793</v>
      </c>
      <c r="G500" t="s">
        <v>2104</v>
      </c>
    </row>
    <row r="501" spans="1:7" x14ac:dyDescent="0.25">
      <c r="A501" t="str">
        <f t="shared" si="45"/>
        <v>207ZP0213X</v>
      </c>
      <c r="B501" t="str">
        <f t="shared" si="49"/>
        <v>26</v>
      </c>
      <c r="C501" t="str">
        <f t="shared" si="50"/>
        <v>033</v>
      </c>
      <c r="D501" t="s">
        <v>2230</v>
      </c>
      <c r="E501" t="s">
        <v>2107</v>
      </c>
      <c r="F501" t="s">
        <v>797</v>
      </c>
      <c r="G501" t="s">
        <v>2106</v>
      </c>
    </row>
    <row r="502" spans="1:7" x14ac:dyDescent="0.25">
      <c r="A502" t="str">
        <f t="shared" si="45"/>
        <v>207ZF0201X</v>
      </c>
      <c r="B502" t="str">
        <f t="shared" si="49"/>
        <v>26</v>
      </c>
      <c r="C502" t="str">
        <f>"034"</f>
        <v>034</v>
      </c>
      <c r="D502" t="s">
        <v>2230</v>
      </c>
      <c r="E502" t="s">
        <v>2108</v>
      </c>
      <c r="F502" t="s">
        <v>777</v>
      </c>
      <c r="G502" t="s">
        <v>2109</v>
      </c>
    </row>
    <row r="503" spans="1:7" x14ac:dyDescent="0.25">
      <c r="A503" t="str">
        <f t="shared" si="45"/>
        <v>208000000X</v>
      </c>
      <c r="B503" t="str">
        <f t="shared" si="49"/>
        <v>26</v>
      </c>
      <c r="C503" t="str">
        <f t="shared" ref="C503:C518" si="51">"035"</f>
        <v>035</v>
      </c>
      <c r="D503" t="s">
        <v>2230</v>
      </c>
      <c r="E503" t="s">
        <v>2110</v>
      </c>
      <c r="F503" t="s">
        <v>799</v>
      </c>
      <c r="G503" t="s">
        <v>2110</v>
      </c>
    </row>
    <row r="504" spans="1:7" x14ac:dyDescent="0.25">
      <c r="A504" t="str">
        <f t="shared" si="45"/>
        <v>2080B0002X</v>
      </c>
      <c r="B504" t="str">
        <f t="shared" si="49"/>
        <v>26</v>
      </c>
      <c r="C504" t="str">
        <f t="shared" si="51"/>
        <v>035</v>
      </c>
      <c r="D504" t="s">
        <v>2230</v>
      </c>
      <c r="E504" t="s">
        <v>2110</v>
      </c>
      <c r="F504" t="s">
        <v>803</v>
      </c>
      <c r="G504" t="s">
        <v>2111</v>
      </c>
    </row>
    <row r="505" spans="1:7" x14ac:dyDescent="0.25">
      <c r="A505" t="str">
        <f t="shared" si="45"/>
        <v>2080C0008X</v>
      </c>
      <c r="B505" t="str">
        <f t="shared" si="49"/>
        <v>26</v>
      </c>
      <c r="C505" t="str">
        <f t="shared" si="51"/>
        <v>035</v>
      </c>
      <c r="D505" t="s">
        <v>2230</v>
      </c>
      <c r="E505" t="s">
        <v>2110</v>
      </c>
      <c r="F505" t="s">
        <v>805</v>
      </c>
      <c r="G505" t="s">
        <v>2112</v>
      </c>
    </row>
    <row r="506" spans="1:7" x14ac:dyDescent="0.25">
      <c r="A506" t="str">
        <f t="shared" si="45"/>
        <v>2080I0007X</v>
      </c>
      <c r="B506" t="str">
        <f t="shared" si="49"/>
        <v>26</v>
      </c>
      <c r="C506" t="str">
        <f t="shared" si="51"/>
        <v>035</v>
      </c>
      <c r="D506" t="s">
        <v>2230</v>
      </c>
      <c r="E506" t="s">
        <v>2110</v>
      </c>
      <c r="F506" t="s">
        <v>809</v>
      </c>
      <c r="G506" t="s">
        <v>2113</v>
      </c>
    </row>
    <row r="507" spans="1:7" x14ac:dyDescent="0.25">
      <c r="A507" t="str">
        <f t="shared" si="45"/>
        <v>2080P0006X</v>
      </c>
      <c r="B507" t="str">
        <f t="shared" si="49"/>
        <v>26</v>
      </c>
      <c r="C507" t="str">
        <f t="shared" si="51"/>
        <v>035</v>
      </c>
      <c r="D507" t="s">
        <v>2230</v>
      </c>
      <c r="E507" t="s">
        <v>2110</v>
      </c>
      <c r="F507" t="s">
        <v>813</v>
      </c>
      <c r="G507" t="s">
        <v>2114</v>
      </c>
    </row>
    <row r="508" spans="1:7" x14ac:dyDescent="0.25">
      <c r="A508" t="str">
        <f t="shared" si="45"/>
        <v>2080P0008X</v>
      </c>
      <c r="B508" t="str">
        <f t="shared" si="49"/>
        <v>26</v>
      </c>
      <c r="C508" t="str">
        <f t="shared" si="51"/>
        <v>035</v>
      </c>
      <c r="D508" t="s">
        <v>2230</v>
      </c>
      <c r="E508" t="s">
        <v>2110</v>
      </c>
      <c r="F508" t="s">
        <v>815</v>
      </c>
      <c r="G508" t="s">
        <v>2115</v>
      </c>
    </row>
    <row r="509" spans="1:7" x14ac:dyDescent="0.25">
      <c r="A509" t="str">
        <f t="shared" si="45"/>
        <v>2080P0206X</v>
      </c>
      <c r="B509" t="str">
        <f t="shared" si="49"/>
        <v>26</v>
      </c>
      <c r="C509" t="str">
        <f t="shared" si="51"/>
        <v>035</v>
      </c>
      <c r="D509" t="s">
        <v>2230</v>
      </c>
      <c r="E509" t="s">
        <v>2110</v>
      </c>
      <c r="F509" t="s">
        <v>827</v>
      </c>
      <c r="G509" t="s">
        <v>2116</v>
      </c>
    </row>
    <row r="510" spans="1:7" x14ac:dyDescent="0.25">
      <c r="A510" t="str">
        <f t="shared" si="45"/>
        <v>2080P0208X</v>
      </c>
      <c r="B510" t="str">
        <f t="shared" si="49"/>
        <v>26</v>
      </c>
      <c r="C510" t="str">
        <f t="shared" si="51"/>
        <v>035</v>
      </c>
      <c r="D510" t="s">
        <v>2230</v>
      </c>
      <c r="E510" t="s">
        <v>2110</v>
      </c>
      <c r="F510" t="s">
        <v>831</v>
      </c>
      <c r="G510" t="s">
        <v>2117</v>
      </c>
    </row>
    <row r="511" spans="1:7" x14ac:dyDescent="0.25">
      <c r="A511" t="str">
        <f t="shared" si="45"/>
        <v>2080P0214X</v>
      </c>
      <c r="B511" t="str">
        <f t="shared" si="49"/>
        <v>26</v>
      </c>
      <c r="C511" t="str">
        <f t="shared" si="51"/>
        <v>035</v>
      </c>
      <c r="D511" t="s">
        <v>2230</v>
      </c>
      <c r="E511" t="s">
        <v>2110</v>
      </c>
      <c r="F511" t="s">
        <v>835</v>
      </c>
      <c r="G511" t="s">
        <v>2118</v>
      </c>
    </row>
    <row r="512" spans="1:7" x14ac:dyDescent="0.25">
      <c r="A512" t="str">
        <f t="shared" si="45"/>
        <v>2080P0216X</v>
      </c>
      <c r="B512" t="str">
        <f t="shared" si="49"/>
        <v>26</v>
      </c>
      <c r="C512" t="str">
        <f t="shared" si="51"/>
        <v>035</v>
      </c>
      <c r="D512" t="s">
        <v>2230</v>
      </c>
      <c r="E512" t="s">
        <v>2110</v>
      </c>
      <c r="F512" t="s">
        <v>837</v>
      </c>
      <c r="G512" t="s">
        <v>2119</v>
      </c>
    </row>
    <row r="513" spans="1:7" x14ac:dyDescent="0.25">
      <c r="A513" t="str">
        <f t="shared" si="45"/>
        <v>2080S0010X</v>
      </c>
      <c r="B513" t="str">
        <f t="shared" si="49"/>
        <v>26</v>
      </c>
      <c r="C513" t="str">
        <f t="shared" si="51"/>
        <v>035</v>
      </c>
      <c r="D513" t="s">
        <v>2230</v>
      </c>
      <c r="E513" t="s">
        <v>2110</v>
      </c>
      <c r="F513" t="s">
        <v>839</v>
      </c>
      <c r="G513" t="s">
        <v>2120</v>
      </c>
    </row>
    <row r="514" spans="1:7" x14ac:dyDescent="0.25">
      <c r="A514" t="str">
        <f t="shared" si="45"/>
        <v>2080S0012X</v>
      </c>
      <c r="B514" t="str">
        <f t="shared" si="49"/>
        <v>26</v>
      </c>
      <c r="C514" t="str">
        <f t="shared" si="51"/>
        <v>035</v>
      </c>
      <c r="D514" t="s">
        <v>2230</v>
      </c>
      <c r="E514" t="s">
        <v>2110</v>
      </c>
      <c r="F514" t="s">
        <v>841</v>
      </c>
      <c r="G514" t="s">
        <v>2121</v>
      </c>
    </row>
    <row r="515" spans="1:7" x14ac:dyDescent="0.25">
      <c r="A515" t="str">
        <f t="shared" ref="A515:A578" si="52">CLEAN(F515)</f>
        <v>2080T0002X</v>
      </c>
      <c r="B515" t="str">
        <f t="shared" si="49"/>
        <v>26</v>
      </c>
      <c r="C515" t="str">
        <f t="shared" si="51"/>
        <v>035</v>
      </c>
      <c r="D515" t="s">
        <v>2230</v>
      </c>
      <c r="E515" t="s">
        <v>2110</v>
      </c>
      <c r="F515" t="s">
        <v>843</v>
      </c>
      <c r="G515" t="s">
        <v>2122</v>
      </c>
    </row>
    <row r="516" spans="1:7" x14ac:dyDescent="0.25">
      <c r="A516" t="str">
        <f t="shared" si="52"/>
        <v>2080T0004X</v>
      </c>
      <c r="B516" t="str">
        <f t="shared" si="49"/>
        <v>26</v>
      </c>
      <c r="C516" t="str">
        <f t="shared" si="51"/>
        <v>035</v>
      </c>
      <c r="D516" t="s">
        <v>2230</v>
      </c>
      <c r="E516" t="s">
        <v>2110</v>
      </c>
      <c r="F516" t="s">
        <v>845</v>
      </c>
      <c r="G516" t="s">
        <v>2123</v>
      </c>
    </row>
    <row r="517" spans="1:7" x14ac:dyDescent="0.25">
      <c r="A517" t="str">
        <f t="shared" si="52"/>
        <v>2084E0001X</v>
      </c>
      <c r="B517" t="str">
        <f t="shared" si="49"/>
        <v>26</v>
      </c>
      <c r="C517" t="str">
        <f t="shared" si="51"/>
        <v>035</v>
      </c>
      <c r="D517" t="s">
        <v>2230</v>
      </c>
      <c r="E517" t="s">
        <v>2110</v>
      </c>
      <c r="F517" t="s">
        <v>1964</v>
      </c>
      <c r="G517" t="s">
        <v>1965</v>
      </c>
    </row>
    <row r="518" spans="1:7" x14ac:dyDescent="0.25">
      <c r="A518" t="str">
        <f t="shared" si="52"/>
        <v>2084P0005X</v>
      </c>
      <c r="B518" t="str">
        <f t="shared" si="49"/>
        <v>26</v>
      </c>
      <c r="C518" t="str">
        <f t="shared" si="51"/>
        <v>035</v>
      </c>
      <c r="D518" t="s">
        <v>2230</v>
      </c>
      <c r="E518" t="s">
        <v>2110</v>
      </c>
      <c r="F518" t="s">
        <v>911</v>
      </c>
      <c r="G518" t="s">
        <v>2055</v>
      </c>
    </row>
    <row r="519" spans="1:7" x14ac:dyDescent="0.25">
      <c r="A519" t="str">
        <f t="shared" si="52"/>
        <v>2080P0201X</v>
      </c>
      <c r="B519" t="str">
        <f t="shared" si="49"/>
        <v>26</v>
      </c>
      <c r="C519" t="str">
        <f>"036"</f>
        <v>036</v>
      </c>
      <c r="D519" t="s">
        <v>2230</v>
      </c>
      <c r="E519" t="s">
        <v>2124</v>
      </c>
      <c r="F519" t="s">
        <v>817</v>
      </c>
      <c r="G519" t="s">
        <v>2125</v>
      </c>
    </row>
    <row r="520" spans="1:7" x14ac:dyDescent="0.25">
      <c r="A520" t="str">
        <f t="shared" si="52"/>
        <v>2080P0202X</v>
      </c>
      <c r="B520" t="str">
        <f t="shared" si="49"/>
        <v>26</v>
      </c>
      <c r="C520" t="str">
        <f>"037"</f>
        <v>037</v>
      </c>
      <c r="D520" t="s">
        <v>2230</v>
      </c>
      <c r="E520" t="s">
        <v>2126</v>
      </c>
      <c r="F520" t="s">
        <v>819</v>
      </c>
      <c r="G520" t="s">
        <v>2127</v>
      </c>
    </row>
    <row r="521" spans="1:7" x14ac:dyDescent="0.25">
      <c r="A521" t="str">
        <f t="shared" si="52"/>
        <v>2080P0207X</v>
      </c>
      <c r="B521" t="str">
        <f t="shared" si="49"/>
        <v>26</v>
      </c>
      <c r="C521" t="str">
        <f>"038"</f>
        <v>038</v>
      </c>
      <c r="D521" t="s">
        <v>2230</v>
      </c>
      <c r="E521" t="s">
        <v>2128</v>
      </c>
      <c r="F521" t="s">
        <v>829</v>
      </c>
      <c r="G521" t="s">
        <v>2129</v>
      </c>
    </row>
    <row r="522" spans="1:7" x14ac:dyDescent="0.25">
      <c r="A522" t="str">
        <f t="shared" si="52"/>
        <v>2080P0210X</v>
      </c>
      <c r="B522" t="str">
        <f t="shared" si="49"/>
        <v>26</v>
      </c>
      <c r="C522" t="str">
        <f>"039"</f>
        <v>039</v>
      </c>
      <c r="D522" t="s">
        <v>2230</v>
      </c>
      <c r="E522" t="s">
        <v>2130</v>
      </c>
      <c r="F522" t="s">
        <v>833</v>
      </c>
      <c r="G522" t="s">
        <v>2131</v>
      </c>
    </row>
    <row r="523" spans="1:7" x14ac:dyDescent="0.25">
      <c r="A523" t="str">
        <f t="shared" si="52"/>
        <v>208100000X</v>
      </c>
      <c r="B523" t="str">
        <f t="shared" si="49"/>
        <v>26</v>
      </c>
      <c r="C523" t="str">
        <f t="shared" ref="C523:C530" si="53">"041"</f>
        <v>041</v>
      </c>
      <c r="D523" t="s">
        <v>2230</v>
      </c>
      <c r="E523" t="s">
        <v>2132</v>
      </c>
      <c r="F523" t="s">
        <v>847</v>
      </c>
      <c r="G523" t="s">
        <v>2133</v>
      </c>
    </row>
    <row r="524" spans="1:7" x14ac:dyDescent="0.25">
      <c r="A524" t="str">
        <f t="shared" si="52"/>
        <v>2081H0002X</v>
      </c>
      <c r="B524" t="str">
        <f t="shared" si="49"/>
        <v>26</v>
      </c>
      <c r="C524" t="str">
        <f t="shared" si="53"/>
        <v>041</v>
      </c>
      <c r="D524" t="s">
        <v>2230</v>
      </c>
      <c r="E524" t="s">
        <v>2132</v>
      </c>
      <c r="F524" t="s">
        <v>849</v>
      </c>
      <c r="G524" t="s">
        <v>2134</v>
      </c>
    </row>
    <row r="525" spans="1:7" x14ac:dyDescent="0.25">
      <c r="A525" t="str">
        <f t="shared" si="52"/>
        <v>2081N0008X</v>
      </c>
      <c r="B525" t="str">
        <f t="shared" si="49"/>
        <v>26</v>
      </c>
      <c r="C525" t="str">
        <f t="shared" si="53"/>
        <v>041</v>
      </c>
      <c r="D525" t="s">
        <v>2230</v>
      </c>
      <c r="E525" t="s">
        <v>2132</v>
      </c>
      <c r="F525" t="s">
        <v>851</v>
      </c>
      <c r="G525" t="s">
        <v>2135</v>
      </c>
    </row>
    <row r="526" spans="1:7" x14ac:dyDescent="0.25">
      <c r="A526" t="str">
        <f t="shared" si="52"/>
        <v>2081P0004X</v>
      </c>
      <c r="B526" t="str">
        <f t="shared" si="49"/>
        <v>26</v>
      </c>
      <c r="C526" t="str">
        <f t="shared" si="53"/>
        <v>041</v>
      </c>
      <c r="D526" t="s">
        <v>2230</v>
      </c>
      <c r="E526" t="s">
        <v>2132</v>
      </c>
      <c r="F526" t="s">
        <v>853</v>
      </c>
      <c r="G526" t="s">
        <v>2136</v>
      </c>
    </row>
    <row r="527" spans="1:7" x14ac:dyDescent="0.25">
      <c r="A527" t="str">
        <f t="shared" si="52"/>
        <v>2081P0010X</v>
      </c>
      <c r="B527" t="str">
        <f t="shared" si="49"/>
        <v>26</v>
      </c>
      <c r="C527" t="str">
        <f t="shared" si="53"/>
        <v>041</v>
      </c>
      <c r="D527" t="s">
        <v>2230</v>
      </c>
      <c r="E527" t="s">
        <v>2132</v>
      </c>
      <c r="F527" t="s">
        <v>855</v>
      </c>
      <c r="G527" t="s">
        <v>2137</v>
      </c>
    </row>
    <row r="528" spans="1:7" x14ac:dyDescent="0.25">
      <c r="A528" t="str">
        <f t="shared" si="52"/>
        <v>2081P0301X</v>
      </c>
      <c r="B528" t="str">
        <f t="shared" si="49"/>
        <v>26</v>
      </c>
      <c r="C528" t="str">
        <f t="shared" si="53"/>
        <v>041</v>
      </c>
      <c r="D528" t="s">
        <v>2230</v>
      </c>
      <c r="E528" t="s">
        <v>2132</v>
      </c>
      <c r="F528" t="s">
        <v>857</v>
      </c>
      <c r="G528" t="s">
        <v>2138</v>
      </c>
    </row>
    <row r="529" spans="1:7" x14ac:dyDescent="0.25">
      <c r="A529" t="str">
        <f t="shared" si="52"/>
        <v>2081P2900X</v>
      </c>
      <c r="B529" t="str">
        <f t="shared" si="49"/>
        <v>26</v>
      </c>
      <c r="C529" t="str">
        <f t="shared" si="53"/>
        <v>041</v>
      </c>
      <c r="D529" t="s">
        <v>2230</v>
      </c>
      <c r="E529" t="s">
        <v>2132</v>
      </c>
      <c r="F529" t="s">
        <v>859</v>
      </c>
      <c r="G529" t="s">
        <v>2139</v>
      </c>
    </row>
    <row r="530" spans="1:7" x14ac:dyDescent="0.25">
      <c r="A530" t="str">
        <f t="shared" si="52"/>
        <v>2081S0010X</v>
      </c>
      <c r="B530" t="str">
        <f t="shared" si="49"/>
        <v>26</v>
      </c>
      <c r="C530" t="str">
        <f t="shared" si="53"/>
        <v>041</v>
      </c>
      <c r="D530" t="s">
        <v>2230</v>
      </c>
      <c r="E530" t="s">
        <v>2132</v>
      </c>
      <c r="F530" t="s">
        <v>861</v>
      </c>
      <c r="G530" t="s">
        <v>2140</v>
      </c>
    </row>
    <row r="531" spans="1:7" x14ac:dyDescent="0.25">
      <c r="A531" t="str">
        <f t="shared" si="52"/>
        <v>207RA0401X</v>
      </c>
      <c r="B531" t="str">
        <f t="shared" si="49"/>
        <v>26</v>
      </c>
      <c r="C531" t="str">
        <f t="shared" ref="C531:C543" si="54">"042"</f>
        <v>042</v>
      </c>
      <c r="D531" t="s">
        <v>2230</v>
      </c>
      <c r="E531" t="s">
        <v>2141</v>
      </c>
      <c r="F531" t="s">
        <v>629</v>
      </c>
      <c r="G531" t="s">
        <v>2011</v>
      </c>
    </row>
    <row r="532" spans="1:7" x14ac:dyDescent="0.25">
      <c r="A532" t="str">
        <f t="shared" si="52"/>
        <v>2084A0401X</v>
      </c>
      <c r="B532" t="str">
        <f t="shared" si="49"/>
        <v>26</v>
      </c>
      <c r="C532" t="str">
        <f t="shared" si="54"/>
        <v>042</v>
      </c>
      <c r="D532" t="s">
        <v>2230</v>
      </c>
      <c r="E532" t="s">
        <v>2141</v>
      </c>
      <c r="F532" t="s">
        <v>889</v>
      </c>
      <c r="G532" t="s">
        <v>2236</v>
      </c>
    </row>
    <row r="533" spans="1:7" x14ac:dyDescent="0.25">
      <c r="A533" t="str">
        <f t="shared" si="52"/>
        <v>2084B0002X</v>
      </c>
      <c r="B533" t="str">
        <f t="shared" si="49"/>
        <v>26</v>
      </c>
      <c r="C533" t="str">
        <f t="shared" si="54"/>
        <v>042</v>
      </c>
      <c r="D533" t="s">
        <v>2230</v>
      </c>
      <c r="E533" t="s">
        <v>2141</v>
      </c>
      <c r="F533" t="s">
        <v>893</v>
      </c>
      <c r="G533" t="s">
        <v>2048</v>
      </c>
    </row>
    <row r="534" spans="1:7" x14ac:dyDescent="0.25">
      <c r="A534" t="str">
        <f t="shared" si="52"/>
        <v>2084F0202X</v>
      </c>
      <c r="B534" t="str">
        <f t="shared" si="49"/>
        <v>26</v>
      </c>
      <c r="C534" t="str">
        <f t="shared" si="54"/>
        <v>042</v>
      </c>
      <c r="D534" t="s">
        <v>2230</v>
      </c>
      <c r="E534" t="s">
        <v>2141</v>
      </c>
      <c r="F534" t="s">
        <v>899</v>
      </c>
      <c r="G534" t="s">
        <v>2142</v>
      </c>
    </row>
    <row r="535" spans="1:7" x14ac:dyDescent="0.25">
      <c r="A535" t="str">
        <f t="shared" si="52"/>
        <v>2084H0002X</v>
      </c>
      <c r="B535" t="str">
        <f t="shared" si="49"/>
        <v>26</v>
      </c>
      <c r="C535" t="str">
        <f t="shared" si="54"/>
        <v>042</v>
      </c>
      <c r="D535" t="s">
        <v>2230</v>
      </c>
      <c r="E535" t="s">
        <v>2141</v>
      </c>
      <c r="F535" t="s">
        <v>901</v>
      </c>
      <c r="G535" t="s">
        <v>2051</v>
      </c>
    </row>
    <row r="536" spans="1:7" x14ac:dyDescent="0.25">
      <c r="A536" t="str">
        <f t="shared" si="52"/>
        <v>2084N0600X</v>
      </c>
      <c r="B536" t="str">
        <f t="shared" si="49"/>
        <v>26</v>
      </c>
      <c r="C536" t="str">
        <f t="shared" si="54"/>
        <v>042</v>
      </c>
      <c r="D536" t="s">
        <v>2230</v>
      </c>
      <c r="E536" t="s">
        <v>2141</v>
      </c>
      <c r="F536" t="s">
        <v>909</v>
      </c>
      <c r="G536" t="s">
        <v>2054</v>
      </c>
    </row>
    <row r="537" spans="1:7" x14ac:dyDescent="0.25">
      <c r="A537" t="str">
        <f t="shared" si="52"/>
        <v>2084P0015X</v>
      </c>
      <c r="B537" t="str">
        <f t="shared" si="49"/>
        <v>26</v>
      </c>
      <c r="C537" t="str">
        <f t="shared" si="54"/>
        <v>042</v>
      </c>
      <c r="D537" t="s">
        <v>2230</v>
      </c>
      <c r="E537" t="s">
        <v>2141</v>
      </c>
      <c r="F537" t="s">
        <v>913</v>
      </c>
      <c r="G537" t="s">
        <v>2056</v>
      </c>
    </row>
    <row r="538" spans="1:7" x14ac:dyDescent="0.25">
      <c r="A538" t="str">
        <f t="shared" si="52"/>
        <v>2084P0301X</v>
      </c>
      <c r="B538" t="str">
        <f t="shared" si="49"/>
        <v>26</v>
      </c>
      <c r="C538" t="str">
        <f t="shared" si="54"/>
        <v>042</v>
      </c>
      <c r="D538" t="s">
        <v>2230</v>
      </c>
      <c r="E538" t="s">
        <v>2141</v>
      </c>
      <c r="F538" t="s">
        <v>915</v>
      </c>
      <c r="G538" t="s">
        <v>2057</v>
      </c>
    </row>
    <row r="539" spans="1:7" x14ac:dyDescent="0.25">
      <c r="A539" t="str">
        <f t="shared" si="52"/>
        <v>2084P0800X</v>
      </c>
      <c r="B539" t="str">
        <f t="shared" si="49"/>
        <v>26</v>
      </c>
      <c r="C539" t="str">
        <f t="shared" si="54"/>
        <v>042</v>
      </c>
      <c r="D539" t="s">
        <v>2230</v>
      </c>
      <c r="E539" t="s">
        <v>2141</v>
      </c>
      <c r="F539" t="s">
        <v>917</v>
      </c>
      <c r="G539" t="s">
        <v>2143</v>
      </c>
    </row>
    <row r="540" spans="1:7" x14ac:dyDescent="0.25">
      <c r="A540" t="str">
        <f t="shared" si="52"/>
        <v>2084P0802X</v>
      </c>
      <c r="B540" t="str">
        <f t="shared" si="49"/>
        <v>26</v>
      </c>
      <c r="C540" t="str">
        <f t="shared" si="54"/>
        <v>042</v>
      </c>
      <c r="D540" t="s">
        <v>2230</v>
      </c>
      <c r="E540" t="s">
        <v>2141</v>
      </c>
      <c r="F540" t="s">
        <v>919</v>
      </c>
      <c r="G540" t="s">
        <v>2144</v>
      </c>
    </row>
    <row r="541" spans="1:7" x14ac:dyDescent="0.25">
      <c r="A541" t="str">
        <f t="shared" si="52"/>
        <v>2084P2900X</v>
      </c>
      <c r="B541" t="str">
        <f t="shared" si="49"/>
        <v>26</v>
      </c>
      <c r="C541" t="str">
        <f t="shared" si="54"/>
        <v>042</v>
      </c>
      <c r="D541" t="s">
        <v>2230</v>
      </c>
      <c r="E541" t="s">
        <v>2141</v>
      </c>
      <c r="F541" t="s">
        <v>925</v>
      </c>
      <c r="G541" t="s">
        <v>2059</v>
      </c>
    </row>
    <row r="542" spans="1:7" x14ac:dyDescent="0.25">
      <c r="A542" t="str">
        <f t="shared" si="52"/>
        <v>2084S0010X</v>
      </c>
      <c r="B542" t="str">
        <f t="shared" si="49"/>
        <v>26</v>
      </c>
      <c r="C542" t="str">
        <f t="shared" si="54"/>
        <v>042</v>
      </c>
      <c r="D542" t="s">
        <v>2230</v>
      </c>
      <c r="E542" t="s">
        <v>2141</v>
      </c>
      <c r="F542" t="s">
        <v>927</v>
      </c>
      <c r="G542" t="s">
        <v>2060</v>
      </c>
    </row>
    <row r="543" spans="1:7" x14ac:dyDescent="0.25">
      <c r="A543" t="str">
        <f t="shared" si="52"/>
        <v>2084S0012X</v>
      </c>
      <c r="B543" t="str">
        <f t="shared" si="49"/>
        <v>26</v>
      </c>
      <c r="C543" t="str">
        <f t="shared" si="54"/>
        <v>042</v>
      </c>
      <c r="D543" t="s">
        <v>2230</v>
      </c>
      <c r="E543" t="s">
        <v>2141</v>
      </c>
      <c r="F543" t="s">
        <v>929</v>
      </c>
      <c r="G543" t="s">
        <v>2061</v>
      </c>
    </row>
    <row r="544" spans="1:7" x14ac:dyDescent="0.25">
      <c r="A544" t="str">
        <f t="shared" si="52"/>
        <v>2084P0301X</v>
      </c>
      <c r="B544" t="str">
        <f t="shared" si="49"/>
        <v>26</v>
      </c>
      <c r="C544" t="str">
        <f>"043"</f>
        <v>043</v>
      </c>
      <c r="D544" t="s">
        <v>2230</v>
      </c>
      <c r="E544" t="s">
        <v>2145</v>
      </c>
      <c r="F544" t="s">
        <v>915</v>
      </c>
      <c r="G544" t="s">
        <v>2057</v>
      </c>
    </row>
    <row r="545" spans="1:7" x14ac:dyDescent="0.25">
      <c r="A545" t="str">
        <f t="shared" si="52"/>
        <v>2084P0804X</v>
      </c>
      <c r="B545" t="str">
        <f t="shared" si="49"/>
        <v>26</v>
      </c>
      <c r="C545" t="str">
        <f>"043"</f>
        <v>043</v>
      </c>
      <c r="D545" t="s">
        <v>2230</v>
      </c>
      <c r="E545" t="s">
        <v>2145</v>
      </c>
      <c r="F545" t="s">
        <v>921</v>
      </c>
      <c r="G545" t="s">
        <v>2146</v>
      </c>
    </row>
    <row r="546" spans="1:7" x14ac:dyDescent="0.25">
      <c r="A546" t="str">
        <f t="shared" si="52"/>
        <v>2083P0901X</v>
      </c>
      <c r="B546" t="str">
        <f t="shared" si="49"/>
        <v>26</v>
      </c>
      <c r="C546" t="str">
        <f>"045"</f>
        <v>045</v>
      </c>
      <c r="D546" t="s">
        <v>2230</v>
      </c>
      <c r="E546" t="s">
        <v>2147</v>
      </c>
      <c r="F546" t="s">
        <v>881</v>
      </c>
      <c r="G546" t="s">
        <v>2017</v>
      </c>
    </row>
    <row r="547" spans="1:7" x14ac:dyDescent="0.25">
      <c r="A547" t="str">
        <f t="shared" si="52"/>
        <v>207RP1001X</v>
      </c>
      <c r="B547" t="str">
        <f t="shared" si="49"/>
        <v>26</v>
      </c>
      <c r="C547" t="str">
        <f>"046"</f>
        <v>046</v>
      </c>
      <c r="D547" t="s">
        <v>2230</v>
      </c>
      <c r="E547" t="s">
        <v>2148</v>
      </c>
      <c r="F547" t="s">
        <v>665</v>
      </c>
      <c r="G547" t="s">
        <v>2149</v>
      </c>
    </row>
    <row r="548" spans="1:7" x14ac:dyDescent="0.25">
      <c r="A548" t="str">
        <f t="shared" si="52"/>
        <v>2080P0214X</v>
      </c>
      <c r="B548" t="str">
        <f t="shared" si="49"/>
        <v>26</v>
      </c>
      <c r="C548" t="str">
        <f>"046"</f>
        <v>046</v>
      </c>
      <c r="D548" t="s">
        <v>2230</v>
      </c>
      <c r="E548" t="s">
        <v>2148</v>
      </c>
      <c r="F548" t="s">
        <v>835</v>
      </c>
      <c r="G548" t="s">
        <v>2118</v>
      </c>
    </row>
    <row r="549" spans="1:7" x14ac:dyDescent="0.25">
      <c r="A549" t="str">
        <f t="shared" si="52"/>
        <v>2085B0100X</v>
      </c>
      <c r="B549" t="str">
        <f t="shared" si="49"/>
        <v>26</v>
      </c>
      <c r="C549" t="str">
        <f>"047"</f>
        <v>047</v>
      </c>
      <c r="D549" t="s">
        <v>2230</v>
      </c>
      <c r="E549" t="s">
        <v>2150</v>
      </c>
      <c r="F549" t="s">
        <v>933</v>
      </c>
      <c r="G549" t="s">
        <v>2151</v>
      </c>
    </row>
    <row r="550" spans="1:7" x14ac:dyDescent="0.25">
      <c r="A550" t="str">
        <f t="shared" si="52"/>
        <v>2085D0003X</v>
      </c>
      <c r="B550" t="str">
        <f t="shared" si="49"/>
        <v>26</v>
      </c>
      <c r="C550" t="str">
        <f>"047"</f>
        <v>047</v>
      </c>
      <c r="D550" t="s">
        <v>2230</v>
      </c>
      <c r="E550" t="s">
        <v>2150</v>
      </c>
      <c r="F550" t="s">
        <v>935</v>
      </c>
      <c r="G550" t="s">
        <v>2152</v>
      </c>
    </row>
    <row r="551" spans="1:7" x14ac:dyDescent="0.25">
      <c r="A551" t="str">
        <f t="shared" si="52"/>
        <v>207U00000X</v>
      </c>
      <c r="B551" t="str">
        <f t="shared" si="49"/>
        <v>26</v>
      </c>
      <c r="C551" t="str">
        <f t="shared" ref="C551:C558" si="55">"048"</f>
        <v>048</v>
      </c>
      <c r="D551" t="s">
        <v>2230</v>
      </c>
      <c r="E551" t="s">
        <v>2153</v>
      </c>
      <c r="F551" t="s">
        <v>691</v>
      </c>
      <c r="G551" t="s">
        <v>2154</v>
      </c>
    </row>
    <row r="552" spans="1:7" x14ac:dyDescent="0.25">
      <c r="A552" t="str">
        <f t="shared" si="52"/>
        <v>207UN0901X</v>
      </c>
      <c r="B552" t="str">
        <f t="shared" si="49"/>
        <v>26</v>
      </c>
      <c r="C552" t="str">
        <f t="shared" si="55"/>
        <v>048</v>
      </c>
      <c r="D552" t="s">
        <v>2230</v>
      </c>
      <c r="E552" t="s">
        <v>2153</v>
      </c>
      <c r="F552" t="s">
        <v>693</v>
      </c>
      <c r="G552" t="s">
        <v>2155</v>
      </c>
    </row>
    <row r="553" spans="1:7" x14ac:dyDescent="0.25">
      <c r="A553" t="str">
        <f t="shared" si="52"/>
        <v>207UN0903X</v>
      </c>
      <c r="B553" t="str">
        <f t="shared" ref="B553:B612" si="56">"26"</f>
        <v>26</v>
      </c>
      <c r="C553" t="str">
        <f t="shared" si="55"/>
        <v>048</v>
      </c>
      <c r="D553" t="s">
        <v>2230</v>
      </c>
      <c r="E553" t="s">
        <v>2153</v>
      </c>
      <c r="F553" t="s">
        <v>697</v>
      </c>
      <c r="G553" t="s">
        <v>2156</v>
      </c>
    </row>
    <row r="554" spans="1:7" x14ac:dyDescent="0.25">
      <c r="A554" t="str">
        <f t="shared" si="52"/>
        <v>2085N0700X</v>
      </c>
      <c r="B554" t="str">
        <f t="shared" si="56"/>
        <v>26</v>
      </c>
      <c r="C554" t="str">
        <f t="shared" si="55"/>
        <v>048</v>
      </c>
      <c r="D554" t="s">
        <v>2230</v>
      </c>
      <c r="E554" t="s">
        <v>2153</v>
      </c>
      <c r="F554" t="s">
        <v>939</v>
      </c>
      <c r="G554" t="s">
        <v>2157</v>
      </c>
    </row>
    <row r="555" spans="1:7" x14ac:dyDescent="0.25">
      <c r="A555" t="str">
        <f t="shared" si="52"/>
        <v>2085N0904X</v>
      </c>
      <c r="B555" t="str">
        <f t="shared" si="56"/>
        <v>26</v>
      </c>
      <c r="C555" t="str">
        <f t="shared" si="55"/>
        <v>048</v>
      </c>
      <c r="D555" t="s">
        <v>2230</v>
      </c>
      <c r="E555" t="s">
        <v>2153</v>
      </c>
      <c r="F555" t="s">
        <v>941</v>
      </c>
      <c r="G555" t="s">
        <v>2158</v>
      </c>
    </row>
    <row r="556" spans="1:7" x14ac:dyDescent="0.25">
      <c r="A556" t="str">
        <f t="shared" si="52"/>
        <v>2085R0202X</v>
      </c>
      <c r="B556" t="str">
        <f t="shared" si="56"/>
        <v>26</v>
      </c>
      <c r="C556" t="str">
        <f t="shared" si="55"/>
        <v>048</v>
      </c>
      <c r="D556" t="s">
        <v>2230</v>
      </c>
      <c r="E556" t="s">
        <v>2153</v>
      </c>
      <c r="F556" t="s">
        <v>947</v>
      </c>
      <c r="G556" t="s">
        <v>2159</v>
      </c>
    </row>
    <row r="557" spans="1:7" x14ac:dyDescent="0.25">
      <c r="A557" t="str">
        <f t="shared" si="52"/>
        <v>2085R0204X</v>
      </c>
      <c r="B557" t="str">
        <f t="shared" si="56"/>
        <v>26</v>
      </c>
      <c r="C557" t="str">
        <f t="shared" si="55"/>
        <v>048</v>
      </c>
      <c r="D557" t="s">
        <v>2230</v>
      </c>
      <c r="E557" t="s">
        <v>2153</v>
      </c>
      <c r="F557" t="s">
        <v>951</v>
      </c>
      <c r="G557" t="s">
        <v>2160</v>
      </c>
    </row>
    <row r="558" spans="1:7" x14ac:dyDescent="0.25">
      <c r="A558" t="str">
        <f t="shared" si="52"/>
        <v>2085U0001X</v>
      </c>
      <c r="B558" t="str">
        <f t="shared" si="56"/>
        <v>26</v>
      </c>
      <c r="C558" t="str">
        <f t="shared" si="55"/>
        <v>048</v>
      </c>
      <c r="D558" t="s">
        <v>2230</v>
      </c>
      <c r="E558" t="s">
        <v>2153</v>
      </c>
      <c r="F558" t="s">
        <v>955</v>
      </c>
      <c r="G558" t="s">
        <v>2237</v>
      </c>
    </row>
    <row r="559" spans="1:7" x14ac:dyDescent="0.25">
      <c r="A559" t="str">
        <f t="shared" si="52"/>
        <v>2085P0229X</v>
      </c>
      <c r="B559" t="str">
        <f t="shared" si="56"/>
        <v>26</v>
      </c>
      <c r="C559" t="str">
        <f>"049"</f>
        <v>049</v>
      </c>
      <c r="D559" t="s">
        <v>2230</v>
      </c>
      <c r="E559" t="s">
        <v>2162</v>
      </c>
      <c r="F559" t="s">
        <v>943</v>
      </c>
      <c r="G559" t="s">
        <v>2163</v>
      </c>
    </row>
    <row r="560" spans="1:7" x14ac:dyDescent="0.25">
      <c r="A560" t="str">
        <f t="shared" si="52"/>
        <v>207UN0902X</v>
      </c>
      <c r="B560" t="str">
        <f t="shared" si="56"/>
        <v>26</v>
      </c>
      <c r="C560" t="str">
        <f t="shared" ref="C560:C566" si="57">"050"</f>
        <v>050</v>
      </c>
      <c r="D560" t="s">
        <v>2230</v>
      </c>
      <c r="E560" t="s">
        <v>2164</v>
      </c>
      <c r="F560" t="s">
        <v>695</v>
      </c>
      <c r="G560" t="s">
        <v>2165</v>
      </c>
    </row>
    <row r="561" spans="1:7" x14ac:dyDescent="0.25">
      <c r="A561" t="str">
        <f t="shared" si="52"/>
        <v>2085H0002X</v>
      </c>
      <c r="B561" t="str">
        <f t="shared" si="56"/>
        <v>26</v>
      </c>
      <c r="C561" t="str">
        <f t="shared" si="57"/>
        <v>050</v>
      </c>
      <c r="D561" t="s">
        <v>2230</v>
      </c>
      <c r="E561" t="s">
        <v>2164</v>
      </c>
      <c r="F561" t="s">
        <v>937</v>
      </c>
      <c r="G561" t="s">
        <v>2166</v>
      </c>
    </row>
    <row r="562" spans="1:7" x14ac:dyDescent="0.25">
      <c r="A562" t="str">
        <f t="shared" si="52"/>
        <v>2085N0700X</v>
      </c>
      <c r="B562" t="str">
        <f t="shared" si="56"/>
        <v>26</v>
      </c>
      <c r="C562" t="str">
        <f t="shared" si="57"/>
        <v>050</v>
      </c>
      <c r="D562" t="s">
        <v>2230</v>
      </c>
      <c r="E562" t="s">
        <v>2164</v>
      </c>
      <c r="F562" t="s">
        <v>939</v>
      </c>
      <c r="G562" t="s">
        <v>2157</v>
      </c>
    </row>
    <row r="563" spans="1:7" x14ac:dyDescent="0.25">
      <c r="A563" t="str">
        <f t="shared" si="52"/>
        <v>2085N0904X</v>
      </c>
      <c r="B563" t="str">
        <f t="shared" si="56"/>
        <v>26</v>
      </c>
      <c r="C563" t="str">
        <f t="shared" si="57"/>
        <v>050</v>
      </c>
      <c r="D563" t="s">
        <v>2230</v>
      </c>
      <c r="E563" t="s">
        <v>2164</v>
      </c>
      <c r="F563" t="s">
        <v>941</v>
      </c>
      <c r="G563" t="s">
        <v>2158</v>
      </c>
    </row>
    <row r="564" spans="1:7" x14ac:dyDescent="0.25">
      <c r="A564" t="str">
        <f t="shared" si="52"/>
        <v>2085R0001X</v>
      </c>
      <c r="B564" t="str">
        <f t="shared" si="56"/>
        <v>26</v>
      </c>
      <c r="C564" t="str">
        <f t="shared" si="57"/>
        <v>050</v>
      </c>
      <c r="D564" t="s">
        <v>2230</v>
      </c>
      <c r="E564" t="s">
        <v>2164</v>
      </c>
      <c r="F564" t="s">
        <v>945</v>
      </c>
      <c r="G564" t="s">
        <v>2167</v>
      </c>
    </row>
    <row r="565" spans="1:7" x14ac:dyDescent="0.25">
      <c r="A565" t="str">
        <f t="shared" si="52"/>
        <v>2085R0203X</v>
      </c>
      <c r="B565" t="str">
        <f t="shared" si="56"/>
        <v>26</v>
      </c>
      <c r="C565" t="str">
        <f t="shared" si="57"/>
        <v>050</v>
      </c>
      <c r="D565" t="s">
        <v>2230</v>
      </c>
      <c r="E565" t="s">
        <v>2164</v>
      </c>
      <c r="F565" t="s">
        <v>949</v>
      </c>
      <c r="G565" t="s">
        <v>2168</v>
      </c>
    </row>
    <row r="566" spans="1:7" x14ac:dyDescent="0.25">
      <c r="A566" t="str">
        <f t="shared" si="52"/>
        <v>2085R0204X</v>
      </c>
      <c r="B566" t="str">
        <f t="shared" si="56"/>
        <v>26</v>
      </c>
      <c r="C566" t="str">
        <f t="shared" si="57"/>
        <v>050</v>
      </c>
      <c r="D566" t="s">
        <v>2230</v>
      </c>
      <c r="E566" t="s">
        <v>2164</v>
      </c>
      <c r="F566" t="s">
        <v>951</v>
      </c>
      <c r="G566" t="s">
        <v>2160</v>
      </c>
    </row>
    <row r="567" spans="1:7" x14ac:dyDescent="0.25">
      <c r="A567" t="str">
        <f t="shared" si="52"/>
        <v>207RR0500X</v>
      </c>
      <c r="B567" t="str">
        <f t="shared" si="56"/>
        <v>26</v>
      </c>
      <c r="C567" t="str">
        <f>"051"</f>
        <v>051</v>
      </c>
      <c r="D567" t="s">
        <v>2230</v>
      </c>
      <c r="E567" t="s">
        <v>2169</v>
      </c>
      <c r="F567" t="s">
        <v>667</v>
      </c>
      <c r="G567" t="s">
        <v>2170</v>
      </c>
    </row>
    <row r="568" spans="1:7" x14ac:dyDescent="0.25">
      <c r="A568" t="str">
        <f t="shared" si="52"/>
        <v>208600000X</v>
      </c>
      <c r="B568" t="str">
        <f t="shared" si="56"/>
        <v>26</v>
      </c>
      <c r="C568" t="str">
        <f>"052"</f>
        <v>052</v>
      </c>
      <c r="D568" t="s">
        <v>2230</v>
      </c>
      <c r="E568" t="s">
        <v>2171</v>
      </c>
      <c r="F568" t="s">
        <v>957</v>
      </c>
      <c r="G568" t="s">
        <v>2172</v>
      </c>
    </row>
    <row r="569" spans="1:7" x14ac:dyDescent="0.25">
      <c r="A569" t="str">
        <f t="shared" si="52"/>
        <v>2086S0129X</v>
      </c>
      <c r="B569" t="str">
        <f t="shared" si="56"/>
        <v>26</v>
      </c>
      <c r="C569" t="str">
        <f>"053"</f>
        <v>053</v>
      </c>
      <c r="D569" t="s">
        <v>2230</v>
      </c>
      <c r="E569" t="s">
        <v>2173</v>
      </c>
      <c r="F569" t="s">
        <v>971</v>
      </c>
      <c r="G569" t="s">
        <v>2174</v>
      </c>
    </row>
    <row r="570" spans="1:7" x14ac:dyDescent="0.25">
      <c r="A570" t="str">
        <f t="shared" si="52"/>
        <v>208C00000X</v>
      </c>
      <c r="B570" t="str">
        <f t="shared" si="56"/>
        <v>26</v>
      </c>
      <c r="C570" t="str">
        <f>"054"</f>
        <v>054</v>
      </c>
      <c r="D570" t="s">
        <v>2230</v>
      </c>
      <c r="E570" t="s">
        <v>2175</v>
      </c>
      <c r="F570" t="s">
        <v>981</v>
      </c>
      <c r="G570" t="s">
        <v>2176</v>
      </c>
    </row>
    <row r="571" spans="1:7" x14ac:dyDescent="0.25">
      <c r="A571" t="str">
        <f t="shared" si="52"/>
        <v>204E00000X</v>
      </c>
      <c r="B571" t="str">
        <f t="shared" si="56"/>
        <v>26</v>
      </c>
      <c r="C571" t="str">
        <f t="shared" ref="C571:C576" si="58">"055"</f>
        <v>055</v>
      </c>
      <c r="D571" t="s">
        <v>2230</v>
      </c>
      <c r="E571" t="s">
        <v>2177</v>
      </c>
      <c r="F571" t="s">
        <v>551</v>
      </c>
      <c r="G571" t="s">
        <v>2178</v>
      </c>
    </row>
    <row r="572" spans="1:7" x14ac:dyDescent="0.25">
      <c r="A572" t="str">
        <f t="shared" si="52"/>
        <v>208600000X</v>
      </c>
      <c r="B572" t="str">
        <f t="shared" si="56"/>
        <v>26</v>
      </c>
      <c r="C572" t="str">
        <f t="shared" si="58"/>
        <v>055</v>
      </c>
      <c r="D572" t="s">
        <v>2230</v>
      </c>
      <c r="E572" t="s">
        <v>2177</v>
      </c>
      <c r="F572" t="s">
        <v>957</v>
      </c>
      <c r="G572" t="s">
        <v>2172</v>
      </c>
    </row>
    <row r="573" spans="1:7" x14ac:dyDescent="0.25">
      <c r="A573" t="str">
        <f t="shared" si="52"/>
        <v>2086H0002X</v>
      </c>
      <c r="B573" t="str">
        <f t="shared" si="56"/>
        <v>26</v>
      </c>
      <c r="C573" t="str">
        <f t="shared" si="58"/>
        <v>055</v>
      </c>
      <c r="D573" t="s">
        <v>2230</v>
      </c>
      <c r="E573" t="s">
        <v>2177</v>
      </c>
      <c r="F573" t="s">
        <v>959</v>
      </c>
      <c r="G573" t="s">
        <v>2179</v>
      </c>
    </row>
    <row r="574" spans="1:7" x14ac:dyDescent="0.25">
      <c r="A574" t="str">
        <f t="shared" si="52"/>
        <v>2086S0102X</v>
      </c>
      <c r="B574" t="str">
        <f t="shared" si="56"/>
        <v>26</v>
      </c>
      <c r="C574" t="str">
        <f t="shared" si="58"/>
        <v>055</v>
      </c>
      <c r="D574" t="s">
        <v>2230</v>
      </c>
      <c r="E574" t="s">
        <v>2177</v>
      </c>
      <c r="F574" t="s">
        <v>961</v>
      </c>
      <c r="G574" t="s">
        <v>2180</v>
      </c>
    </row>
    <row r="575" spans="1:7" x14ac:dyDescent="0.25">
      <c r="A575" t="str">
        <f t="shared" si="52"/>
        <v>2086S0129X</v>
      </c>
      <c r="B575" t="str">
        <f t="shared" si="56"/>
        <v>26</v>
      </c>
      <c r="C575" t="str">
        <f t="shared" si="58"/>
        <v>055</v>
      </c>
      <c r="D575" t="s">
        <v>2230</v>
      </c>
      <c r="E575" t="s">
        <v>2177</v>
      </c>
      <c r="F575" t="s">
        <v>971</v>
      </c>
      <c r="G575" t="s">
        <v>2174</v>
      </c>
    </row>
    <row r="576" spans="1:7" x14ac:dyDescent="0.25">
      <c r="A576" t="str">
        <f t="shared" si="52"/>
        <v>2086X0206X</v>
      </c>
      <c r="B576" t="str">
        <f t="shared" si="56"/>
        <v>26</v>
      </c>
      <c r="C576" t="str">
        <f t="shared" si="58"/>
        <v>055</v>
      </c>
      <c r="D576" t="s">
        <v>2230</v>
      </c>
      <c r="E576" t="s">
        <v>2177</v>
      </c>
      <c r="F576" t="s">
        <v>973</v>
      </c>
      <c r="G576" t="s">
        <v>2181</v>
      </c>
    </row>
    <row r="577" spans="1:7" x14ac:dyDescent="0.25">
      <c r="A577" t="str">
        <f t="shared" si="52"/>
        <v>207XS0106X</v>
      </c>
      <c r="B577" t="str">
        <f t="shared" si="56"/>
        <v>26</v>
      </c>
      <c r="C577" t="str">
        <f>"056"</f>
        <v>056</v>
      </c>
      <c r="D577" t="s">
        <v>2230</v>
      </c>
      <c r="E577" t="s">
        <v>2182</v>
      </c>
      <c r="F577" t="s">
        <v>739</v>
      </c>
      <c r="G577" t="s">
        <v>2183</v>
      </c>
    </row>
    <row r="578" spans="1:7" x14ac:dyDescent="0.25">
      <c r="A578" t="str">
        <f t="shared" si="52"/>
        <v>2082S0105X</v>
      </c>
      <c r="B578" t="str">
        <f t="shared" si="56"/>
        <v>26</v>
      </c>
      <c r="C578" t="str">
        <f>"056"</f>
        <v>056</v>
      </c>
      <c r="D578" t="s">
        <v>2230</v>
      </c>
      <c r="E578" t="s">
        <v>2182</v>
      </c>
      <c r="F578" t="s">
        <v>867</v>
      </c>
      <c r="G578" t="s">
        <v>2184</v>
      </c>
    </row>
    <row r="579" spans="1:7" x14ac:dyDescent="0.25">
      <c r="A579" t="str">
        <f t="shared" ref="A579:A642" si="59">CLEAN(F579)</f>
        <v>2086S0105X</v>
      </c>
      <c r="B579" t="str">
        <f t="shared" si="56"/>
        <v>26</v>
      </c>
      <c r="C579" t="str">
        <f>"056"</f>
        <v>056</v>
      </c>
      <c r="D579" t="s">
        <v>2230</v>
      </c>
      <c r="E579" t="s">
        <v>2182</v>
      </c>
      <c r="F579" t="s">
        <v>963</v>
      </c>
      <c r="G579" t="s">
        <v>2185</v>
      </c>
    </row>
    <row r="580" spans="1:7" x14ac:dyDescent="0.25">
      <c r="A580" t="str">
        <f t="shared" si="59"/>
        <v>207T00000X</v>
      </c>
      <c r="B580" t="str">
        <f t="shared" si="56"/>
        <v>26</v>
      </c>
      <c r="C580" t="str">
        <f>"057"</f>
        <v>057</v>
      </c>
      <c r="D580" t="s">
        <v>2230</v>
      </c>
      <c r="E580" t="s">
        <v>2186</v>
      </c>
      <c r="F580" t="s">
        <v>689</v>
      </c>
      <c r="G580" t="s">
        <v>2187</v>
      </c>
    </row>
    <row r="581" spans="1:7" x14ac:dyDescent="0.25">
      <c r="A581" t="str">
        <f t="shared" si="59"/>
        <v>2084E0001X</v>
      </c>
      <c r="B581" t="str">
        <f t="shared" si="56"/>
        <v>26</v>
      </c>
      <c r="C581" t="str">
        <f>"057"</f>
        <v>057</v>
      </c>
      <c r="D581" t="s">
        <v>2230</v>
      </c>
      <c r="E581" t="s">
        <v>2186</v>
      </c>
      <c r="F581" t="s">
        <v>1964</v>
      </c>
      <c r="G581" t="s">
        <v>1965</v>
      </c>
    </row>
    <row r="582" spans="1:7" x14ac:dyDescent="0.25">
      <c r="A582" t="str">
        <f t="shared" si="59"/>
        <v>207X00000X</v>
      </c>
      <c r="B582" t="str">
        <f t="shared" si="56"/>
        <v>26</v>
      </c>
      <c r="C582" t="str">
        <f t="shared" ref="C582:C588" si="60">"058"</f>
        <v>058</v>
      </c>
      <c r="D582" t="s">
        <v>2230</v>
      </c>
      <c r="E582" t="s">
        <v>2188</v>
      </c>
      <c r="F582" t="s">
        <v>735</v>
      </c>
      <c r="G582" t="s">
        <v>2189</v>
      </c>
    </row>
    <row r="583" spans="1:7" x14ac:dyDescent="0.25">
      <c r="A583" t="str">
        <f t="shared" si="59"/>
        <v>207XP3100X</v>
      </c>
      <c r="B583" t="str">
        <f t="shared" si="56"/>
        <v>26</v>
      </c>
      <c r="C583" t="str">
        <f t="shared" si="60"/>
        <v>058</v>
      </c>
      <c r="D583" t="s">
        <v>2230</v>
      </c>
      <c r="E583" t="s">
        <v>2188</v>
      </c>
      <c r="F583" t="s">
        <v>737</v>
      </c>
      <c r="G583" t="s">
        <v>2190</v>
      </c>
    </row>
    <row r="584" spans="1:7" x14ac:dyDescent="0.25">
      <c r="A584" t="str">
        <f t="shared" si="59"/>
        <v>207XS0114X</v>
      </c>
      <c r="B584" t="str">
        <f t="shared" si="56"/>
        <v>26</v>
      </c>
      <c r="C584" t="str">
        <f t="shared" si="60"/>
        <v>058</v>
      </c>
      <c r="D584" t="s">
        <v>2230</v>
      </c>
      <c r="E584" t="s">
        <v>2188</v>
      </c>
      <c r="F584" t="s">
        <v>741</v>
      </c>
      <c r="G584" t="s">
        <v>2191</v>
      </c>
    </row>
    <row r="585" spans="1:7" x14ac:dyDescent="0.25">
      <c r="A585" t="str">
        <f t="shared" si="59"/>
        <v>207XS0117X</v>
      </c>
      <c r="B585" t="str">
        <f t="shared" si="56"/>
        <v>26</v>
      </c>
      <c r="C585" t="str">
        <f t="shared" si="60"/>
        <v>058</v>
      </c>
      <c r="D585" t="s">
        <v>2230</v>
      </c>
      <c r="E585" t="s">
        <v>2188</v>
      </c>
      <c r="F585" t="s">
        <v>743</v>
      </c>
      <c r="G585" t="s">
        <v>2192</v>
      </c>
    </row>
    <row r="586" spans="1:7" x14ac:dyDescent="0.25">
      <c r="A586" t="str">
        <f t="shared" si="59"/>
        <v>207XX0004X</v>
      </c>
      <c r="B586" t="str">
        <f t="shared" si="56"/>
        <v>26</v>
      </c>
      <c r="C586" t="str">
        <f t="shared" si="60"/>
        <v>058</v>
      </c>
      <c r="D586" t="s">
        <v>2230</v>
      </c>
      <c r="E586" t="s">
        <v>2188</v>
      </c>
      <c r="F586" t="s">
        <v>745</v>
      </c>
      <c r="G586" t="s">
        <v>2193</v>
      </c>
    </row>
    <row r="587" spans="1:7" x14ac:dyDescent="0.25">
      <c r="A587" t="str">
        <f t="shared" si="59"/>
        <v>207XX0005X</v>
      </c>
      <c r="B587" t="str">
        <f t="shared" si="56"/>
        <v>26</v>
      </c>
      <c r="C587" t="str">
        <f t="shared" si="60"/>
        <v>058</v>
      </c>
      <c r="D587" t="s">
        <v>2230</v>
      </c>
      <c r="E587" t="s">
        <v>2188</v>
      </c>
      <c r="F587" t="s">
        <v>747</v>
      </c>
      <c r="G587" t="s">
        <v>2194</v>
      </c>
    </row>
    <row r="588" spans="1:7" x14ac:dyDescent="0.25">
      <c r="A588" t="str">
        <f t="shared" si="59"/>
        <v>207XX0801X</v>
      </c>
      <c r="B588" t="str">
        <f t="shared" si="56"/>
        <v>26</v>
      </c>
      <c r="C588" t="str">
        <f t="shared" si="60"/>
        <v>058</v>
      </c>
      <c r="D588" t="s">
        <v>2230</v>
      </c>
      <c r="E588" t="s">
        <v>2188</v>
      </c>
      <c r="F588" t="s">
        <v>749</v>
      </c>
      <c r="G588" t="s">
        <v>2195</v>
      </c>
    </row>
    <row r="589" spans="1:7" x14ac:dyDescent="0.25">
      <c r="A589" t="str">
        <f t="shared" si="59"/>
        <v>207XP3100X</v>
      </c>
      <c r="B589" t="str">
        <f t="shared" si="56"/>
        <v>26</v>
      </c>
      <c r="C589" t="str">
        <f>"059"</f>
        <v>059</v>
      </c>
      <c r="D589" t="s">
        <v>2230</v>
      </c>
      <c r="E589" t="s">
        <v>2196</v>
      </c>
      <c r="F589" t="s">
        <v>737</v>
      </c>
      <c r="G589" t="s">
        <v>2190</v>
      </c>
    </row>
    <row r="590" spans="1:7" x14ac:dyDescent="0.25">
      <c r="A590" t="str">
        <f t="shared" si="59"/>
        <v>2086S0120X</v>
      </c>
      <c r="B590" t="str">
        <f t="shared" si="56"/>
        <v>26</v>
      </c>
      <c r="C590" t="str">
        <f>"059"</f>
        <v>059</v>
      </c>
      <c r="D590" t="s">
        <v>2230</v>
      </c>
      <c r="E590" t="s">
        <v>2196</v>
      </c>
      <c r="F590" t="s">
        <v>965</v>
      </c>
      <c r="G590" t="s">
        <v>2197</v>
      </c>
    </row>
    <row r="591" spans="1:7" x14ac:dyDescent="0.25">
      <c r="A591" t="str">
        <f t="shared" si="59"/>
        <v>207ND0101X</v>
      </c>
      <c r="B591" t="str">
        <f t="shared" si="56"/>
        <v>26</v>
      </c>
      <c r="C591" t="str">
        <f>"060"</f>
        <v>060</v>
      </c>
      <c r="D591" t="s">
        <v>2230</v>
      </c>
      <c r="E591" t="s">
        <v>2198</v>
      </c>
      <c r="F591" t="s">
        <v>577</v>
      </c>
      <c r="G591" t="s">
        <v>1980</v>
      </c>
    </row>
    <row r="592" spans="1:7" x14ac:dyDescent="0.25">
      <c r="A592" t="str">
        <f t="shared" si="59"/>
        <v>208200000X</v>
      </c>
      <c r="B592" t="str">
        <f t="shared" si="56"/>
        <v>26</v>
      </c>
      <c r="C592" t="str">
        <f>"060"</f>
        <v>060</v>
      </c>
      <c r="D592" t="s">
        <v>2230</v>
      </c>
      <c r="E592" t="s">
        <v>2198</v>
      </c>
      <c r="F592" t="s">
        <v>863</v>
      </c>
      <c r="G592" t="s">
        <v>2199</v>
      </c>
    </row>
    <row r="593" spans="1:7" x14ac:dyDescent="0.25">
      <c r="A593" t="str">
        <f t="shared" si="59"/>
        <v>2082S0099X</v>
      </c>
      <c r="B593" t="str">
        <f t="shared" si="56"/>
        <v>26</v>
      </c>
      <c r="C593" t="str">
        <f>"060"</f>
        <v>060</v>
      </c>
      <c r="D593" t="s">
        <v>2230</v>
      </c>
      <c r="E593" t="s">
        <v>2198</v>
      </c>
      <c r="F593" t="s">
        <v>865</v>
      </c>
      <c r="G593" t="s">
        <v>2200</v>
      </c>
    </row>
    <row r="594" spans="1:7" x14ac:dyDescent="0.25">
      <c r="A594" t="str">
        <f t="shared" si="59"/>
        <v>2086S0122X</v>
      </c>
      <c r="B594" t="str">
        <f t="shared" si="56"/>
        <v>26</v>
      </c>
      <c r="C594" t="str">
        <f>"060"</f>
        <v>060</v>
      </c>
      <c r="D594" t="s">
        <v>2230</v>
      </c>
      <c r="E594" t="s">
        <v>2198</v>
      </c>
      <c r="F594" t="s">
        <v>967</v>
      </c>
      <c r="G594" t="s">
        <v>2201</v>
      </c>
    </row>
    <row r="595" spans="1:7" x14ac:dyDescent="0.25">
      <c r="A595" t="str">
        <f t="shared" si="59"/>
        <v>208G00000X</v>
      </c>
      <c r="B595" t="str">
        <f t="shared" si="56"/>
        <v>26</v>
      </c>
      <c r="C595" t="str">
        <f>"061"</f>
        <v>061</v>
      </c>
      <c r="D595" t="s">
        <v>2230</v>
      </c>
      <c r="E595" t="s">
        <v>2202</v>
      </c>
      <c r="F595" t="s">
        <v>985</v>
      </c>
      <c r="G595" t="s">
        <v>2203</v>
      </c>
    </row>
    <row r="596" spans="1:7" x14ac:dyDescent="0.25">
      <c r="A596" t="str">
        <f t="shared" si="59"/>
        <v>207XX0801X</v>
      </c>
      <c r="B596" t="str">
        <f t="shared" si="56"/>
        <v>26</v>
      </c>
      <c r="C596" t="str">
        <f>"062"</f>
        <v>062</v>
      </c>
      <c r="D596" t="s">
        <v>2230</v>
      </c>
      <c r="E596" t="s">
        <v>2204</v>
      </c>
      <c r="F596" t="s">
        <v>749</v>
      </c>
      <c r="G596" t="s">
        <v>2195</v>
      </c>
    </row>
    <row r="597" spans="1:7" x14ac:dyDescent="0.25">
      <c r="A597" t="str">
        <f t="shared" si="59"/>
        <v>2086S0127X</v>
      </c>
      <c r="B597" t="str">
        <f t="shared" si="56"/>
        <v>26</v>
      </c>
      <c r="C597" t="str">
        <f>"062"</f>
        <v>062</v>
      </c>
      <c r="D597" t="s">
        <v>2230</v>
      </c>
      <c r="E597" t="s">
        <v>2204</v>
      </c>
      <c r="F597" t="s">
        <v>969</v>
      </c>
      <c r="G597" t="s">
        <v>2205</v>
      </c>
    </row>
    <row r="598" spans="1:7" x14ac:dyDescent="0.25">
      <c r="A598" t="str">
        <f t="shared" si="59"/>
        <v>208800000X</v>
      </c>
      <c r="B598" t="str">
        <f t="shared" si="56"/>
        <v>26</v>
      </c>
      <c r="C598" t="str">
        <f>"063"</f>
        <v>063</v>
      </c>
      <c r="D598" t="s">
        <v>2230</v>
      </c>
      <c r="E598" t="s">
        <v>2206</v>
      </c>
      <c r="F598" t="s">
        <v>975</v>
      </c>
      <c r="G598" t="s">
        <v>2207</v>
      </c>
    </row>
    <row r="599" spans="1:7" x14ac:dyDescent="0.25">
      <c r="A599" t="str">
        <f t="shared" si="59"/>
        <v>2088P0231X</v>
      </c>
      <c r="B599" t="str">
        <f t="shared" si="56"/>
        <v>26</v>
      </c>
      <c r="C599" t="str">
        <f>"063"</f>
        <v>063</v>
      </c>
      <c r="D599" t="s">
        <v>2230</v>
      </c>
      <c r="E599" t="s">
        <v>2206</v>
      </c>
      <c r="F599" t="s">
        <v>979</v>
      </c>
      <c r="G599" t="s">
        <v>2208</v>
      </c>
    </row>
    <row r="600" spans="1:7" x14ac:dyDescent="0.25">
      <c r="A600" t="str">
        <f t="shared" si="59"/>
        <v>207VM0101X</v>
      </c>
      <c r="B600" t="str">
        <f t="shared" si="56"/>
        <v>26</v>
      </c>
      <c r="C600" t="str">
        <f>"065"</f>
        <v>065</v>
      </c>
      <c r="D600" t="s">
        <v>2230</v>
      </c>
      <c r="E600" t="s">
        <v>2209</v>
      </c>
      <c r="F600" t="s">
        <v>713</v>
      </c>
      <c r="G600" t="s">
        <v>2210</v>
      </c>
    </row>
    <row r="601" spans="1:7" x14ac:dyDescent="0.25">
      <c r="A601" t="str">
        <f t="shared" si="59"/>
        <v>2084P0800X</v>
      </c>
      <c r="B601" t="str">
        <f t="shared" si="56"/>
        <v>26</v>
      </c>
      <c r="C601" t="str">
        <f>"066"</f>
        <v>066</v>
      </c>
      <c r="D601" t="s">
        <v>2230</v>
      </c>
      <c r="E601" t="s">
        <v>1884</v>
      </c>
      <c r="F601" t="s">
        <v>917</v>
      </c>
      <c r="G601" t="s">
        <v>2143</v>
      </c>
    </row>
    <row r="602" spans="1:7" x14ac:dyDescent="0.25">
      <c r="A602" t="str">
        <f t="shared" si="59"/>
        <v>2080N0001X</v>
      </c>
      <c r="B602" t="str">
        <f t="shared" si="56"/>
        <v>26</v>
      </c>
      <c r="C602" t="str">
        <f>"101"</f>
        <v>101</v>
      </c>
      <c r="D602" t="s">
        <v>2230</v>
      </c>
      <c r="E602" t="s">
        <v>2218</v>
      </c>
      <c r="F602" t="s">
        <v>811</v>
      </c>
      <c r="G602" t="s">
        <v>2044</v>
      </c>
    </row>
    <row r="603" spans="1:7" x14ac:dyDescent="0.25">
      <c r="A603" t="str">
        <f t="shared" si="59"/>
        <v>2080P0203X</v>
      </c>
      <c r="B603" t="str">
        <f t="shared" si="56"/>
        <v>26</v>
      </c>
      <c r="C603" t="str">
        <f>"101"</f>
        <v>101</v>
      </c>
      <c r="D603" t="s">
        <v>2230</v>
      </c>
      <c r="E603" t="s">
        <v>2218</v>
      </c>
      <c r="F603" t="s">
        <v>821</v>
      </c>
      <c r="G603" t="s">
        <v>2219</v>
      </c>
    </row>
    <row r="604" spans="1:7" x14ac:dyDescent="0.25">
      <c r="A604" t="str">
        <f t="shared" si="59"/>
        <v>2080P0204X</v>
      </c>
      <c r="B604" t="str">
        <f t="shared" si="56"/>
        <v>26</v>
      </c>
      <c r="C604" t="str">
        <f>"102"</f>
        <v>102</v>
      </c>
      <c r="D604" t="s">
        <v>2230</v>
      </c>
      <c r="E604" t="s">
        <v>2220</v>
      </c>
      <c r="F604" t="s">
        <v>823</v>
      </c>
      <c r="G604" t="s">
        <v>2221</v>
      </c>
    </row>
    <row r="605" spans="1:7" x14ac:dyDescent="0.25">
      <c r="A605" t="str">
        <f t="shared" si="59"/>
        <v>2086S0120X</v>
      </c>
      <c r="B605" t="str">
        <f t="shared" si="56"/>
        <v>26</v>
      </c>
      <c r="C605" t="str">
        <f>"103"</f>
        <v>103</v>
      </c>
      <c r="D605" t="s">
        <v>2230</v>
      </c>
      <c r="E605" t="s">
        <v>2222</v>
      </c>
      <c r="F605" t="s">
        <v>965</v>
      </c>
      <c r="G605" t="s">
        <v>2197</v>
      </c>
    </row>
    <row r="606" spans="1:7" x14ac:dyDescent="0.25">
      <c r="A606" t="str">
        <f t="shared" si="59"/>
        <v>208800000X</v>
      </c>
      <c r="B606" t="str">
        <f t="shared" si="56"/>
        <v>26</v>
      </c>
      <c r="C606" t="str">
        <f>"104"</f>
        <v>104</v>
      </c>
      <c r="D606" t="s">
        <v>2230</v>
      </c>
      <c r="E606" t="s">
        <v>2223</v>
      </c>
      <c r="F606" t="s">
        <v>975</v>
      </c>
      <c r="G606" t="s">
        <v>2207</v>
      </c>
    </row>
    <row r="607" spans="1:7" x14ac:dyDescent="0.25">
      <c r="A607" t="str">
        <f t="shared" si="59"/>
        <v>202D00000X</v>
      </c>
      <c r="B607" t="str">
        <f t="shared" si="56"/>
        <v>26</v>
      </c>
      <c r="C607" t="str">
        <f>"140"</f>
        <v>140</v>
      </c>
      <c r="D607" t="s">
        <v>2230</v>
      </c>
      <c r="E607" t="s">
        <v>2226</v>
      </c>
      <c r="F607" t="s">
        <v>1996</v>
      </c>
      <c r="G607" t="s">
        <v>1997</v>
      </c>
    </row>
    <row r="608" spans="1:7" x14ac:dyDescent="0.25">
      <c r="A608" t="str">
        <f t="shared" si="59"/>
        <v>207RA0401X</v>
      </c>
      <c r="B608" t="str">
        <f t="shared" si="56"/>
        <v>26</v>
      </c>
      <c r="C608" t="str">
        <f>"140"</f>
        <v>140</v>
      </c>
      <c r="D608" t="s">
        <v>2230</v>
      </c>
      <c r="E608" t="s">
        <v>2226</v>
      </c>
      <c r="F608" t="s">
        <v>629</v>
      </c>
      <c r="G608" t="s">
        <v>2011</v>
      </c>
    </row>
    <row r="609" spans="1:7" x14ac:dyDescent="0.25">
      <c r="A609" t="str">
        <f t="shared" si="59"/>
        <v>208M00000X</v>
      </c>
      <c r="B609" t="str">
        <f t="shared" si="56"/>
        <v>26</v>
      </c>
      <c r="C609" t="str">
        <f>"140"</f>
        <v>140</v>
      </c>
      <c r="D609" t="s">
        <v>2230</v>
      </c>
      <c r="E609" t="s">
        <v>2226</v>
      </c>
      <c r="F609" t="s">
        <v>987</v>
      </c>
      <c r="G609" t="s">
        <v>2226</v>
      </c>
    </row>
    <row r="610" spans="1:7" x14ac:dyDescent="0.25">
      <c r="A610" t="str">
        <f t="shared" si="59"/>
        <v>2080P0205X</v>
      </c>
      <c r="B610" t="str">
        <f t="shared" si="56"/>
        <v>26</v>
      </c>
      <c r="C610" t="str">
        <f>"205"</f>
        <v>205</v>
      </c>
      <c r="D610" t="s">
        <v>2230</v>
      </c>
      <c r="E610" t="s">
        <v>2227</v>
      </c>
      <c r="F610" t="s">
        <v>825</v>
      </c>
      <c r="G610" t="s">
        <v>2228</v>
      </c>
    </row>
    <row r="611" spans="1:7" x14ac:dyDescent="0.25">
      <c r="A611" t="str">
        <f t="shared" si="59"/>
        <v>208800000X</v>
      </c>
      <c r="B611" t="str">
        <f t="shared" si="56"/>
        <v>26</v>
      </c>
      <c r="C611" t="str">
        <f>"209"</f>
        <v>209</v>
      </c>
      <c r="D611" t="s">
        <v>2230</v>
      </c>
      <c r="E611" t="s">
        <v>2207</v>
      </c>
      <c r="F611" t="s">
        <v>975</v>
      </c>
      <c r="G611" t="s">
        <v>2207</v>
      </c>
    </row>
    <row r="612" spans="1:7" x14ac:dyDescent="0.25">
      <c r="A612" t="str">
        <f t="shared" si="59"/>
        <v>2088F0040X</v>
      </c>
      <c r="B612" t="str">
        <f t="shared" si="56"/>
        <v>26</v>
      </c>
      <c r="C612" t="str">
        <f>"209"</f>
        <v>209</v>
      </c>
      <c r="D612" t="s">
        <v>2230</v>
      </c>
      <c r="E612" t="s">
        <v>2207</v>
      </c>
      <c r="F612" t="s">
        <v>977</v>
      </c>
      <c r="G612" t="s">
        <v>2229</v>
      </c>
    </row>
    <row r="613" spans="1:7" x14ac:dyDescent="0.25">
      <c r="A613" t="str">
        <f t="shared" si="59"/>
        <v>213E00000X</v>
      </c>
      <c r="B613" t="str">
        <f t="shared" ref="B613:B620" si="61">"27"</f>
        <v>27</v>
      </c>
      <c r="C613" t="str">
        <f t="shared" ref="C613:C620" si="62">"927"</f>
        <v>927</v>
      </c>
      <c r="D613" t="s">
        <v>2238</v>
      </c>
      <c r="E613" t="s">
        <v>2238</v>
      </c>
      <c r="F613" t="s">
        <v>999</v>
      </c>
      <c r="G613" t="s">
        <v>2238</v>
      </c>
    </row>
    <row r="614" spans="1:7" x14ac:dyDescent="0.25">
      <c r="A614" t="str">
        <f t="shared" si="59"/>
        <v>213EP0504X</v>
      </c>
      <c r="B614" t="str">
        <f t="shared" si="61"/>
        <v>27</v>
      </c>
      <c r="C614" t="str">
        <f t="shared" si="62"/>
        <v>927</v>
      </c>
      <c r="D614" t="s">
        <v>2238</v>
      </c>
      <c r="E614" t="s">
        <v>2238</v>
      </c>
      <c r="F614" t="s">
        <v>1003</v>
      </c>
      <c r="G614" t="s">
        <v>2239</v>
      </c>
    </row>
    <row r="615" spans="1:7" x14ac:dyDescent="0.25">
      <c r="A615" t="str">
        <f t="shared" si="59"/>
        <v>213EP1101X</v>
      </c>
      <c r="B615" t="str">
        <f t="shared" si="61"/>
        <v>27</v>
      </c>
      <c r="C615" t="str">
        <f t="shared" si="62"/>
        <v>927</v>
      </c>
      <c r="D615" t="s">
        <v>2238</v>
      </c>
      <c r="E615" t="s">
        <v>2238</v>
      </c>
      <c r="F615" t="s">
        <v>1005</v>
      </c>
      <c r="G615" t="s">
        <v>2240</v>
      </c>
    </row>
    <row r="616" spans="1:7" x14ac:dyDescent="0.25">
      <c r="A616" t="str">
        <f t="shared" si="59"/>
        <v>213ER0200X</v>
      </c>
      <c r="B616" t="str">
        <f t="shared" si="61"/>
        <v>27</v>
      </c>
      <c r="C616" t="str">
        <f t="shared" si="62"/>
        <v>927</v>
      </c>
      <c r="D616" t="s">
        <v>2238</v>
      </c>
      <c r="E616" t="s">
        <v>2238</v>
      </c>
      <c r="F616" t="s">
        <v>1007</v>
      </c>
      <c r="G616" t="s">
        <v>2241</v>
      </c>
    </row>
    <row r="617" spans="1:7" x14ac:dyDescent="0.25">
      <c r="A617" t="str">
        <f t="shared" si="59"/>
        <v>213ES0000X</v>
      </c>
      <c r="B617" t="str">
        <f t="shared" si="61"/>
        <v>27</v>
      </c>
      <c r="C617" t="str">
        <f t="shared" si="62"/>
        <v>927</v>
      </c>
      <c r="D617" t="s">
        <v>2238</v>
      </c>
      <c r="E617" t="s">
        <v>2238</v>
      </c>
      <c r="F617" t="s">
        <v>1009</v>
      </c>
      <c r="G617" t="s">
        <v>2242</v>
      </c>
    </row>
    <row r="618" spans="1:7" x14ac:dyDescent="0.25">
      <c r="A618" t="str">
        <f t="shared" si="59"/>
        <v>213ES0103X</v>
      </c>
      <c r="B618" t="str">
        <f t="shared" si="61"/>
        <v>27</v>
      </c>
      <c r="C618" t="str">
        <f t="shared" si="62"/>
        <v>927</v>
      </c>
      <c r="D618" t="s">
        <v>2238</v>
      </c>
      <c r="E618" t="s">
        <v>2238</v>
      </c>
      <c r="F618" t="s">
        <v>1011</v>
      </c>
      <c r="G618" t="s">
        <v>2243</v>
      </c>
    </row>
    <row r="619" spans="1:7" x14ac:dyDescent="0.25">
      <c r="A619" t="str">
        <f t="shared" si="59"/>
        <v>213ES0131X</v>
      </c>
      <c r="B619" t="str">
        <f t="shared" si="61"/>
        <v>27</v>
      </c>
      <c r="C619" t="str">
        <f t="shared" si="62"/>
        <v>927</v>
      </c>
      <c r="D619" t="s">
        <v>2238</v>
      </c>
      <c r="E619" t="s">
        <v>2238</v>
      </c>
      <c r="F619" t="s">
        <v>1013</v>
      </c>
      <c r="G619" t="s">
        <v>2244</v>
      </c>
    </row>
    <row r="620" spans="1:7" x14ac:dyDescent="0.25">
      <c r="A620" t="str">
        <f t="shared" si="59"/>
        <v>261QP1100X</v>
      </c>
      <c r="B620" t="str">
        <f t="shared" si="61"/>
        <v>27</v>
      </c>
      <c r="C620" t="str">
        <f t="shared" si="62"/>
        <v>927</v>
      </c>
      <c r="D620" t="s">
        <v>2238</v>
      </c>
      <c r="E620" t="s">
        <v>2238</v>
      </c>
      <c r="F620" t="s">
        <v>1435</v>
      </c>
      <c r="G620" t="s">
        <v>2245</v>
      </c>
    </row>
    <row r="621" spans="1:7" x14ac:dyDescent="0.25">
      <c r="A621" t="str">
        <f t="shared" si="59"/>
        <v>111N00000X</v>
      </c>
      <c r="B621" t="str">
        <f t="shared" ref="B621:B632" si="63">"28"</f>
        <v>28</v>
      </c>
      <c r="C621" t="str">
        <f t="shared" ref="C621:C632" si="64">"928"</f>
        <v>928</v>
      </c>
      <c r="D621" t="s">
        <v>2246</v>
      </c>
      <c r="E621" t="s">
        <v>2246</v>
      </c>
      <c r="F621" t="s">
        <v>200</v>
      </c>
      <c r="G621" t="s">
        <v>2246</v>
      </c>
    </row>
    <row r="622" spans="1:7" x14ac:dyDescent="0.25">
      <c r="A622" t="str">
        <f t="shared" si="59"/>
        <v>111NI0013X</v>
      </c>
      <c r="B622" t="str">
        <f t="shared" si="63"/>
        <v>28</v>
      </c>
      <c r="C622" t="str">
        <f t="shared" si="64"/>
        <v>928</v>
      </c>
      <c r="D622" t="s">
        <v>2246</v>
      </c>
      <c r="E622" t="s">
        <v>2246</v>
      </c>
      <c r="F622" t="s">
        <v>202</v>
      </c>
      <c r="G622" t="s">
        <v>2247</v>
      </c>
    </row>
    <row r="623" spans="1:7" x14ac:dyDescent="0.25">
      <c r="A623" t="str">
        <f t="shared" si="59"/>
        <v>111NI0900X</v>
      </c>
      <c r="B623" t="str">
        <f t="shared" si="63"/>
        <v>28</v>
      </c>
      <c r="C623" t="str">
        <f t="shared" si="64"/>
        <v>928</v>
      </c>
      <c r="D623" t="s">
        <v>2246</v>
      </c>
      <c r="E623" t="s">
        <v>2246</v>
      </c>
      <c r="F623" t="s">
        <v>204</v>
      </c>
      <c r="G623" t="s">
        <v>2248</v>
      </c>
    </row>
    <row r="624" spans="1:7" x14ac:dyDescent="0.25">
      <c r="A624" t="str">
        <f t="shared" si="59"/>
        <v>111NN0400X</v>
      </c>
      <c r="B624" t="str">
        <f t="shared" si="63"/>
        <v>28</v>
      </c>
      <c r="C624" t="str">
        <f t="shared" si="64"/>
        <v>928</v>
      </c>
      <c r="D624" t="s">
        <v>2246</v>
      </c>
      <c r="E624" t="s">
        <v>2246</v>
      </c>
      <c r="F624" t="s">
        <v>206</v>
      </c>
      <c r="G624" t="s">
        <v>2249</v>
      </c>
    </row>
    <row r="625" spans="1:7" x14ac:dyDescent="0.25">
      <c r="A625" t="str">
        <f t="shared" si="59"/>
        <v>111NN1001X</v>
      </c>
      <c r="B625" t="str">
        <f t="shared" si="63"/>
        <v>28</v>
      </c>
      <c r="C625" t="str">
        <f t="shared" si="64"/>
        <v>928</v>
      </c>
      <c r="D625" t="s">
        <v>2246</v>
      </c>
      <c r="E625" t="s">
        <v>2246</v>
      </c>
      <c r="F625" t="s">
        <v>208</v>
      </c>
      <c r="G625" t="s">
        <v>2250</v>
      </c>
    </row>
    <row r="626" spans="1:7" x14ac:dyDescent="0.25">
      <c r="A626" t="str">
        <f t="shared" si="59"/>
        <v>111NP0017X</v>
      </c>
      <c r="B626" t="str">
        <f t="shared" si="63"/>
        <v>28</v>
      </c>
      <c r="C626" t="str">
        <f t="shared" si="64"/>
        <v>928</v>
      </c>
      <c r="D626" t="s">
        <v>2246</v>
      </c>
      <c r="E626" t="s">
        <v>2246</v>
      </c>
      <c r="F626" t="s">
        <v>210</v>
      </c>
      <c r="G626" t="s">
        <v>2251</v>
      </c>
    </row>
    <row r="627" spans="1:7" x14ac:dyDescent="0.25">
      <c r="A627" t="str">
        <f t="shared" si="59"/>
        <v>111NR0200X</v>
      </c>
      <c r="B627" t="str">
        <f t="shared" si="63"/>
        <v>28</v>
      </c>
      <c r="C627" t="str">
        <f t="shared" si="64"/>
        <v>928</v>
      </c>
      <c r="D627" t="s">
        <v>2246</v>
      </c>
      <c r="E627" t="s">
        <v>2246</v>
      </c>
      <c r="F627" t="s">
        <v>212</v>
      </c>
      <c r="G627" t="s">
        <v>2252</v>
      </c>
    </row>
    <row r="628" spans="1:7" x14ac:dyDescent="0.25">
      <c r="A628" t="str">
        <f t="shared" si="59"/>
        <v>111NR0400X</v>
      </c>
      <c r="B628" t="str">
        <f t="shared" si="63"/>
        <v>28</v>
      </c>
      <c r="C628" t="str">
        <f t="shared" si="64"/>
        <v>928</v>
      </c>
      <c r="D628" t="s">
        <v>2246</v>
      </c>
      <c r="E628" t="s">
        <v>2246</v>
      </c>
      <c r="F628" t="s">
        <v>214</v>
      </c>
      <c r="G628" t="s">
        <v>2253</v>
      </c>
    </row>
    <row r="629" spans="1:7" x14ac:dyDescent="0.25">
      <c r="A629" t="str">
        <f t="shared" si="59"/>
        <v>111NS0005X</v>
      </c>
      <c r="B629" t="str">
        <f t="shared" si="63"/>
        <v>28</v>
      </c>
      <c r="C629" t="str">
        <f t="shared" si="64"/>
        <v>928</v>
      </c>
      <c r="D629" t="s">
        <v>2246</v>
      </c>
      <c r="E629" t="s">
        <v>2246</v>
      </c>
      <c r="F629" t="s">
        <v>216</v>
      </c>
      <c r="G629" t="s">
        <v>2254</v>
      </c>
    </row>
    <row r="630" spans="1:7" x14ac:dyDescent="0.25">
      <c r="A630" t="str">
        <f t="shared" si="59"/>
        <v>111NT0100X</v>
      </c>
      <c r="B630" t="str">
        <f t="shared" si="63"/>
        <v>28</v>
      </c>
      <c r="C630" t="str">
        <f t="shared" si="64"/>
        <v>928</v>
      </c>
      <c r="D630" t="s">
        <v>2246</v>
      </c>
      <c r="E630" t="s">
        <v>2246</v>
      </c>
      <c r="F630" t="s">
        <v>218</v>
      </c>
      <c r="G630" t="s">
        <v>2255</v>
      </c>
    </row>
    <row r="631" spans="1:7" x14ac:dyDescent="0.25">
      <c r="A631" t="str">
        <f t="shared" si="59"/>
        <v>111NX0100X</v>
      </c>
      <c r="B631" t="str">
        <f t="shared" si="63"/>
        <v>28</v>
      </c>
      <c r="C631" t="str">
        <f t="shared" si="64"/>
        <v>928</v>
      </c>
      <c r="D631" t="s">
        <v>2246</v>
      </c>
      <c r="E631" t="s">
        <v>2246</v>
      </c>
      <c r="F631" t="s">
        <v>220</v>
      </c>
      <c r="G631" t="s">
        <v>2256</v>
      </c>
    </row>
    <row r="632" spans="1:7" x14ac:dyDescent="0.25">
      <c r="A632" t="str">
        <f t="shared" si="59"/>
        <v>111NX0800X</v>
      </c>
      <c r="B632" t="str">
        <f t="shared" si="63"/>
        <v>28</v>
      </c>
      <c r="C632" t="str">
        <f t="shared" si="64"/>
        <v>928</v>
      </c>
      <c r="D632" t="s">
        <v>2246</v>
      </c>
      <c r="E632" t="s">
        <v>2246</v>
      </c>
      <c r="F632" t="s">
        <v>222</v>
      </c>
      <c r="G632" t="s">
        <v>2257</v>
      </c>
    </row>
    <row r="633" spans="1:7" x14ac:dyDescent="0.25">
      <c r="A633" t="str">
        <f t="shared" si="59"/>
        <v>246ZX2200X</v>
      </c>
      <c r="B633" t="str">
        <f>"29"</f>
        <v>29</v>
      </c>
      <c r="C633" t="str">
        <f>"929"</f>
        <v>929</v>
      </c>
      <c r="D633" t="s">
        <v>2258</v>
      </c>
      <c r="E633" t="s">
        <v>2258</v>
      </c>
      <c r="F633" t="s">
        <v>1281</v>
      </c>
      <c r="G633" t="s">
        <v>2259</v>
      </c>
    </row>
    <row r="634" spans="1:7" x14ac:dyDescent="0.25">
      <c r="A634" t="str">
        <f t="shared" si="59"/>
        <v>363A00000X</v>
      </c>
      <c r="B634" t="str">
        <f>"29"</f>
        <v>29</v>
      </c>
      <c r="C634" t="str">
        <f>"929"</f>
        <v>929</v>
      </c>
      <c r="D634" t="s">
        <v>2258</v>
      </c>
      <c r="E634" t="s">
        <v>2258</v>
      </c>
      <c r="F634" t="s">
        <v>1685</v>
      </c>
      <c r="G634" t="s">
        <v>2258</v>
      </c>
    </row>
    <row r="635" spans="1:7" x14ac:dyDescent="0.25">
      <c r="A635" t="str">
        <f t="shared" si="59"/>
        <v>363AM0700X</v>
      </c>
      <c r="B635" t="str">
        <f>"29"</f>
        <v>29</v>
      </c>
      <c r="C635" t="str">
        <f>"929"</f>
        <v>929</v>
      </c>
      <c r="D635" t="s">
        <v>2258</v>
      </c>
      <c r="E635" t="s">
        <v>2258</v>
      </c>
      <c r="F635" t="s">
        <v>1687</v>
      </c>
      <c r="G635" t="s">
        <v>2260</v>
      </c>
    </row>
    <row r="636" spans="1:7" x14ac:dyDescent="0.25">
      <c r="A636" t="str">
        <f t="shared" si="59"/>
        <v>363AS0400X</v>
      </c>
      <c r="B636" t="str">
        <f>"29"</f>
        <v>29</v>
      </c>
      <c r="C636" t="str">
        <f>"929"</f>
        <v>929</v>
      </c>
      <c r="D636" t="s">
        <v>2258</v>
      </c>
      <c r="E636" t="s">
        <v>2258</v>
      </c>
      <c r="F636" t="s">
        <v>1689</v>
      </c>
      <c r="G636" t="s">
        <v>2261</v>
      </c>
    </row>
    <row r="637" spans="1:7" x14ac:dyDescent="0.25">
      <c r="A637" t="str">
        <f t="shared" si="59"/>
        <v>363LA2200X</v>
      </c>
      <c r="B637" t="str">
        <f t="shared" ref="B637:B668" si="65">"30"</f>
        <v>30</v>
      </c>
      <c r="C637" t="str">
        <f>"075"</f>
        <v>075</v>
      </c>
      <c r="D637" t="s">
        <v>2262</v>
      </c>
      <c r="E637" t="s">
        <v>2263</v>
      </c>
      <c r="F637" t="s">
        <v>1695</v>
      </c>
      <c r="G637" t="s">
        <v>2264</v>
      </c>
    </row>
    <row r="638" spans="1:7" x14ac:dyDescent="0.25">
      <c r="A638" t="str">
        <f t="shared" si="59"/>
        <v>363LP2300X</v>
      </c>
      <c r="B638" t="str">
        <f t="shared" si="65"/>
        <v>30</v>
      </c>
      <c r="C638" t="str">
        <f>"075"</f>
        <v>075</v>
      </c>
      <c r="D638" t="s">
        <v>2262</v>
      </c>
      <c r="E638" t="s">
        <v>2263</v>
      </c>
      <c r="F638" t="s">
        <v>1717</v>
      </c>
      <c r="G638" t="s">
        <v>2265</v>
      </c>
    </row>
    <row r="639" spans="1:7" x14ac:dyDescent="0.25">
      <c r="A639" t="str">
        <f t="shared" si="59"/>
        <v>363LP0808X</v>
      </c>
      <c r="B639" t="str">
        <f t="shared" si="65"/>
        <v>30</v>
      </c>
      <c r="C639" t="str">
        <f t="shared" ref="C639:C646" si="66">"076"</f>
        <v>076</v>
      </c>
      <c r="D639" t="s">
        <v>2262</v>
      </c>
      <c r="E639" t="s">
        <v>2266</v>
      </c>
      <c r="F639" t="s">
        <v>1713</v>
      </c>
      <c r="G639" t="s">
        <v>2267</v>
      </c>
    </row>
    <row r="640" spans="1:7" x14ac:dyDescent="0.25">
      <c r="A640" t="str">
        <f t="shared" si="59"/>
        <v>364SP0807X</v>
      </c>
      <c r="B640" t="str">
        <f t="shared" si="65"/>
        <v>30</v>
      </c>
      <c r="C640" t="str">
        <f t="shared" si="66"/>
        <v>076</v>
      </c>
      <c r="D640" t="s">
        <v>2262</v>
      </c>
      <c r="E640" t="s">
        <v>2266</v>
      </c>
      <c r="F640" t="s">
        <v>1763</v>
      </c>
      <c r="G640" t="s">
        <v>2268</v>
      </c>
    </row>
    <row r="641" spans="1:7" x14ac:dyDescent="0.25">
      <c r="A641" t="str">
        <f t="shared" si="59"/>
        <v>364SP0808X</v>
      </c>
      <c r="B641" t="str">
        <f t="shared" si="65"/>
        <v>30</v>
      </c>
      <c r="C641" t="str">
        <f t="shared" si="66"/>
        <v>076</v>
      </c>
      <c r="D641" t="s">
        <v>2262</v>
      </c>
      <c r="E641" t="s">
        <v>2266</v>
      </c>
      <c r="F641" t="s">
        <v>1765</v>
      </c>
      <c r="G641" t="s">
        <v>2269</v>
      </c>
    </row>
    <row r="642" spans="1:7" x14ac:dyDescent="0.25">
      <c r="A642" t="str">
        <f t="shared" si="59"/>
        <v>364SP0809X</v>
      </c>
      <c r="B642" t="str">
        <f t="shared" si="65"/>
        <v>30</v>
      </c>
      <c r="C642" t="str">
        <f t="shared" si="66"/>
        <v>076</v>
      </c>
      <c r="D642" t="s">
        <v>2262</v>
      </c>
      <c r="E642" t="s">
        <v>2266</v>
      </c>
      <c r="F642" t="s">
        <v>1767</v>
      </c>
      <c r="G642" t="s">
        <v>2270</v>
      </c>
    </row>
    <row r="643" spans="1:7" x14ac:dyDescent="0.25">
      <c r="A643" t="str">
        <f t="shared" ref="A643:A706" si="67">CLEAN(F643)</f>
        <v>364SP0810X</v>
      </c>
      <c r="B643" t="str">
        <f t="shared" si="65"/>
        <v>30</v>
      </c>
      <c r="C643" t="str">
        <f t="shared" si="66"/>
        <v>076</v>
      </c>
      <c r="D643" t="s">
        <v>2262</v>
      </c>
      <c r="E643" t="s">
        <v>2266</v>
      </c>
      <c r="F643" t="s">
        <v>1769</v>
      </c>
      <c r="G643" t="s">
        <v>2271</v>
      </c>
    </row>
    <row r="644" spans="1:7" x14ac:dyDescent="0.25">
      <c r="A644" t="str">
        <f t="shared" si="67"/>
        <v>364SP0811X</v>
      </c>
      <c r="B644" t="str">
        <f t="shared" si="65"/>
        <v>30</v>
      </c>
      <c r="C644" t="str">
        <f t="shared" si="66"/>
        <v>076</v>
      </c>
      <c r="D644" t="s">
        <v>2262</v>
      </c>
      <c r="E644" t="s">
        <v>2266</v>
      </c>
      <c r="F644" t="s">
        <v>1771</v>
      </c>
      <c r="G644" t="s">
        <v>2272</v>
      </c>
    </row>
    <row r="645" spans="1:7" x14ac:dyDescent="0.25">
      <c r="A645" t="str">
        <f t="shared" si="67"/>
        <v>364SP0812X</v>
      </c>
      <c r="B645" t="str">
        <f t="shared" si="65"/>
        <v>30</v>
      </c>
      <c r="C645" t="str">
        <f t="shared" si="66"/>
        <v>076</v>
      </c>
      <c r="D645" t="s">
        <v>2262</v>
      </c>
      <c r="E645" t="s">
        <v>2266</v>
      </c>
      <c r="F645" t="s">
        <v>1773</v>
      </c>
      <c r="G645" t="s">
        <v>2273</v>
      </c>
    </row>
    <row r="646" spans="1:7" x14ac:dyDescent="0.25">
      <c r="A646" t="str">
        <f t="shared" si="67"/>
        <v>364SP0813X</v>
      </c>
      <c r="B646" t="str">
        <f t="shared" si="65"/>
        <v>30</v>
      </c>
      <c r="C646" t="str">
        <f t="shared" si="66"/>
        <v>076</v>
      </c>
      <c r="D646" t="s">
        <v>2262</v>
      </c>
      <c r="E646" t="s">
        <v>2266</v>
      </c>
      <c r="F646" t="s">
        <v>1775</v>
      </c>
      <c r="G646" t="s">
        <v>2274</v>
      </c>
    </row>
    <row r="647" spans="1:7" x14ac:dyDescent="0.25">
      <c r="A647" t="str">
        <f t="shared" si="67"/>
        <v>363LS0200X</v>
      </c>
      <c r="B647" t="str">
        <f t="shared" si="65"/>
        <v>30</v>
      </c>
      <c r="C647" t="str">
        <f>"077"</f>
        <v>077</v>
      </c>
      <c r="D647" t="s">
        <v>2262</v>
      </c>
      <c r="E647" t="s">
        <v>2275</v>
      </c>
      <c r="F647" t="s">
        <v>1719</v>
      </c>
      <c r="G647" t="s">
        <v>2276</v>
      </c>
    </row>
    <row r="648" spans="1:7" x14ac:dyDescent="0.25">
      <c r="A648" t="str">
        <f t="shared" si="67"/>
        <v>363LP2300X</v>
      </c>
      <c r="B648" t="str">
        <f t="shared" si="65"/>
        <v>30</v>
      </c>
      <c r="C648" t="str">
        <f>"078"</f>
        <v>078</v>
      </c>
      <c r="D648" t="s">
        <v>2262</v>
      </c>
      <c r="E648" t="s">
        <v>2277</v>
      </c>
      <c r="F648" t="s">
        <v>1717</v>
      </c>
      <c r="G648" t="s">
        <v>2265</v>
      </c>
    </row>
    <row r="649" spans="1:7" x14ac:dyDescent="0.25">
      <c r="A649" t="str">
        <f t="shared" si="67"/>
        <v>363LF0000X</v>
      </c>
      <c r="B649" t="str">
        <f t="shared" si="65"/>
        <v>30</v>
      </c>
      <c r="C649" t="str">
        <f>"080"</f>
        <v>080</v>
      </c>
      <c r="D649" t="s">
        <v>2262</v>
      </c>
      <c r="E649" t="s">
        <v>2278</v>
      </c>
      <c r="F649" t="s">
        <v>1701</v>
      </c>
      <c r="G649" t="s">
        <v>2279</v>
      </c>
    </row>
    <row r="650" spans="1:7" x14ac:dyDescent="0.25">
      <c r="A650" t="str">
        <f t="shared" si="67"/>
        <v>363LF0000X</v>
      </c>
      <c r="B650" t="str">
        <f t="shared" si="65"/>
        <v>30</v>
      </c>
      <c r="C650" t="str">
        <f>"081"</f>
        <v>081</v>
      </c>
      <c r="D650" t="s">
        <v>2262</v>
      </c>
      <c r="E650" t="s">
        <v>2280</v>
      </c>
      <c r="F650" t="s">
        <v>1701</v>
      </c>
      <c r="G650" t="s">
        <v>2279</v>
      </c>
    </row>
    <row r="651" spans="1:7" x14ac:dyDescent="0.25">
      <c r="A651" t="str">
        <f t="shared" si="67"/>
        <v>363LG0600X</v>
      </c>
      <c r="B651" t="str">
        <f t="shared" si="65"/>
        <v>30</v>
      </c>
      <c r="C651" t="str">
        <f>"082"</f>
        <v>082</v>
      </c>
      <c r="D651" t="s">
        <v>2262</v>
      </c>
      <c r="E651" t="s">
        <v>2281</v>
      </c>
      <c r="F651" t="s">
        <v>1703</v>
      </c>
      <c r="G651" t="s">
        <v>2282</v>
      </c>
    </row>
    <row r="652" spans="1:7" x14ac:dyDescent="0.25">
      <c r="A652" t="str">
        <f t="shared" si="67"/>
        <v>363LX0001X</v>
      </c>
      <c r="B652" t="str">
        <f t="shared" si="65"/>
        <v>30</v>
      </c>
      <c r="C652" t="str">
        <f>"083"</f>
        <v>083</v>
      </c>
      <c r="D652" t="s">
        <v>2262</v>
      </c>
      <c r="E652" t="s">
        <v>2283</v>
      </c>
      <c r="F652" t="s">
        <v>1723</v>
      </c>
      <c r="G652" t="s">
        <v>2284</v>
      </c>
    </row>
    <row r="653" spans="1:7" x14ac:dyDescent="0.25">
      <c r="A653" t="str">
        <f t="shared" si="67"/>
        <v>367500000X</v>
      </c>
      <c r="B653" t="str">
        <f t="shared" si="65"/>
        <v>30</v>
      </c>
      <c r="C653" t="str">
        <f>"084"</f>
        <v>084</v>
      </c>
      <c r="D653" t="s">
        <v>2262</v>
      </c>
      <c r="E653" t="s">
        <v>2285</v>
      </c>
      <c r="F653" t="s">
        <v>1795</v>
      </c>
      <c r="G653" t="s">
        <v>2286</v>
      </c>
    </row>
    <row r="654" spans="1:7" x14ac:dyDescent="0.25">
      <c r="A654" t="str">
        <f t="shared" si="67"/>
        <v>367A00000X</v>
      </c>
      <c r="B654" t="str">
        <f t="shared" si="65"/>
        <v>30</v>
      </c>
      <c r="C654" t="str">
        <f>"085"</f>
        <v>085</v>
      </c>
      <c r="D654" t="s">
        <v>2262</v>
      </c>
      <c r="E654" t="s">
        <v>2287</v>
      </c>
      <c r="F654" t="s">
        <v>1797</v>
      </c>
      <c r="G654" t="s">
        <v>2288</v>
      </c>
    </row>
    <row r="655" spans="1:7" x14ac:dyDescent="0.25">
      <c r="A655" t="str">
        <f t="shared" si="67"/>
        <v>363LP1700X</v>
      </c>
      <c r="B655" t="str">
        <f t="shared" si="65"/>
        <v>30</v>
      </c>
      <c r="C655" t="str">
        <f>"086"</f>
        <v>086</v>
      </c>
      <c r="D655" t="s">
        <v>2262</v>
      </c>
      <c r="E655" t="s">
        <v>2289</v>
      </c>
      <c r="F655" t="s">
        <v>1715</v>
      </c>
      <c r="G655" t="s">
        <v>2290</v>
      </c>
    </row>
    <row r="656" spans="1:7" x14ac:dyDescent="0.25">
      <c r="A656" t="str">
        <f t="shared" si="67"/>
        <v>363LW0102X</v>
      </c>
      <c r="B656" t="str">
        <f t="shared" si="65"/>
        <v>30</v>
      </c>
      <c r="C656" t="str">
        <f>"086"</f>
        <v>086</v>
      </c>
      <c r="D656" t="s">
        <v>2262</v>
      </c>
      <c r="E656" t="s">
        <v>2289</v>
      </c>
      <c r="F656" t="s">
        <v>1721</v>
      </c>
      <c r="G656" t="s">
        <v>2291</v>
      </c>
    </row>
    <row r="657" spans="1:7" x14ac:dyDescent="0.25">
      <c r="A657" t="str">
        <f t="shared" si="67"/>
        <v>363LX0001X</v>
      </c>
      <c r="B657" t="str">
        <f t="shared" si="65"/>
        <v>30</v>
      </c>
      <c r="C657" t="str">
        <f>"086"</f>
        <v>086</v>
      </c>
      <c r="D657" t="s">
        <v>2262</v>
      </c>
      <c r="E657" t="s">
        <v>2289</v>
      </c>
      <c r="F657" t="s">
        <v>1723</v>
      </c>
      <c r="G657" t="s">
        <v>2284</v>
      </c>
    </row>
    <row r="658" spans="1:7" x14ac:dyDescent="0.25">
      <c r="A658" t="str">
        <f t="shared" si="67"/>
        <v>363LN0000X</v>
      </c>
      <c r="B658" t="str">
        <f t="shared" si="65"/>
        <v>30</v>
      </c>
      <c r="C658" t="str">
        <f>"087"</f>
        <v>087</v>
      </c>
      <c r="D658" t="s">
        <v>2262</v>
      </c>
      <c r="E658" t="s">
        <v>2292</v>
      </c>
      <c r="F658" t="s">
        <v>1705</v>
      </c>
      <c r="G658" t="s">
        <v>2293</v>
      </c>
    </row>
    <row r="659" spans="1:7" x14ac:dyDescent="0.25">
      <c r="A659" t="str">
        <f t="shared" si="67"/>
        <v>363LN0005X</v>
      </c>
      <c r="B659" t="str">
        <f t="shared" si="65"/>
        <v>30</v>
      </c>
      <c r="C659" t="str">
        <f>"087"</f>
        <v>087</v>
      </c>
      <c r="D659" t="s">
        <v>2262</v>
      </c>
      <c r="E659" t="s">
        <v>2292</v>
      </c>
      <c r="F659" t="s">
        <v>1707</v>
      </c>
      <c r="G659" t="s">
        <v>2294</v>
      </c>
    </row>
    <row r="660" spans="1:7" x14ac:dyDescent="0.25">
      <c r="A660" t="str">
        <f t="shared" si="67"/>
        <v>363LP0200X</v>
      </c>
      <c r="B660" t="str">
        <f t="shared" si="65"/>
        <v>30</v>
      </c>
      <c r="C660" t="str">
        <f>"087"</f>
        <v>087</v>
      </c>
      <c r="D660" t="s">
        <v>2262</v>
      </c>
      <c r="E660" t="s">
        <v>2292</v>
      </c>
      <c r="F660" t="s">
        <v>1709</v>
      </c>
      <c r="G660" t="s">
        <v>2295</v>
      </c>
    </row>
    <row r="661" spans="1:7" x14ac:dyDescent="0.25">
      <c r="A661" t="str">
        <f t="shared" si="67"/>
        <v>363LP0222X</v>
      </c>
      <c r="B661" t="str">
        <f t="shared" si="65"/>
        <v>30</v>
      </c>
      <c r="C661" t="str">
        <f>"087"</f>
        <v>087</v>
      </c>
      <c r="D661" t="s">
        <v>2262</v>
      </c>
      <c r="E661" t="s">
        <v>2292</v>
      </c>
      <c r="F661" t="s">
        <v>1711</v>
      </c>
      <c r="G661" t="s">
        <v>2296</v>
      </c>
    </row>
    <row r="662" spans="1:7" x14ac:dyDescent="0.25">
      <c r="A662" t="str">
        <f t="shared" si="67"/>
        <v>363L00000X</v>
      </c>
      <c r="B662" t="str">
        <f t="shared" si="65"/>
        <v>30</v>
      </c>
      <c r="C662" t="str">
        <f>"160"</f>
        <v>160</v>
      </c>
      <c r="D662" t="s">
        <v>2262</v>
      </c>
      <c r="E662" t="s">
        <v>2297</v>
      </c>
      <c r="F662" t="s">
        <v>1691</v>
      </c>
      <c r="G662" t="s">
        <v>2298</v>
      </c>
    </row>
    <row r="663" spans="1:7" x14ac:dyDescent="0.25">
      <c r="A663" t="str">
        <f t="shared" si="67"/>
        <v>363L00000X</v>
      </c>
      <c r="B663" t="str">
        <f t="shared" si="65"/>
        <v>30</v>
      </c>
      <c r="C663" t="str">
        <f>"177"</f>
        <v>177</v>
      </c>
      <c r="D663" t="s">
        <v>2262</v>
      </c>
      <c r="E663" t="s">
        <v>2299</v>
      </c>
      <c r="F663" t="s">
        <v>1691</v>
      </c>
      <c r="G663" t="s">
        <v>2298</v>
      </c>
    </row>
    <row r="664" spans="1:7" x14ac:dyDescent="0.25">
      <c r="A664" t="str">
        <f t="shared" si="67"/>
        <v>363L00000X</v>
      </c>
      <c r="B664" t="str">
        <f t="shared" si="65"/>
        <v>30</v>
      </c>
      <c r="C664" t="str">
        <f>"930"</f>
        <v>930</v>
      </c>
      <c r="D664" t="s">
        <v>2262</v>
      </c>
      <c r="E664" t="s">
        <v>2300</v>
      </c>
      <c r="F664" t="s">
        <v>1691</v>
      </c>
      <c r="G664" t="s">
        <v>2298</v>
      </c>
    </row>
    <row r="665" spans="1:7" x14ac:dyDescent="0.25">
      <c r="A665" t="str">
        <f t="shared" si="67"/>
        <v>363LA2100X</v>
      </c>
      <c r="B665" t="str">
        <f t="shared" si="65"/>
        <v>30</v>
      </c>
      <c r="C665" t="str">
        <f>"930"</f>
        <v>930</v>
      </c>
      <c r="D665" t="s">
        <v>2262</v>
      </c>
      <c r="E665" t="s">
        <v>2300</v>
      </c>
      <c r="F665" t="s">
        <v>1693</v>
      </c>
      <c r="G665" t="s">
        <v>2301</v>
      </c>
    </row>
    <row r="666" spans="1:7" x14ac:dyDescent="0.25">
      <c r="A666" t="str">
        <f t="shared" si="67"/>
        <v>363LC0200X</v>
      </c>
      <c r="B666" t="str">
        <f t="shared" si="65"/>
        <v>30</v>
      </c>
      <c r="C666" t="str">
        <f>"930"</f>
        <v>930</v>
      </c>
      <c r="D666" t="s">
        <v>2262</v>
      </c>
      <c r="E666" t="s">
        <v>2300</v>
      </c>
      <c r="F666" t="s">
        <v>1697</v>
      </c>
      <c r="G666" t="s">
        <v>2302</v>
      </c>
    </row>
    <row r="667" spans="1:7" x14ac:dyDescent="0.25">
      <c r="A667" t="str">
        <f t="shared" si="67"/>
        <v>363LC1500X</v>
      </c>
      <c r="B667" t="str">
        <f t="shared" si="65"/>
        <v>30</v>
      </c>
      <c r="C667" t="str">
        <f>"930"</f>
        <v>930</v>
      </c>
      <c r="D667" t="s">
        <v>2262</v>
      </c>
      <c r="E667" t="s">
        <v>2300</v>
      </c>
      <c r="F667" t="s">
        <v>1699</v>
      </c>
      <c r="G667" t="s">
        <v>2303</v>
      </c>
    </row>
    <row r="668" spans="1:7" x14ac:dyDescent="0.25">
      <c r="A668" t="str">
        <f t="shared" si="67"/>
        <v>363LX0106X</v>
      </c>
      <c r="B668" t="str">
        <f t="shared" si="65"/>
        <v>30</v>
      </c>
      <c r="C668" t="str">
        <f>"930"</f>
        <v>930</v>
      </c>
      <c r="D668" t="s">
        <v>2262</v>
      </c>
      <c r="E668" t="s">
        <v>2300</v>
      </c>
      <c r="F668" t="s">
        <v>1725</v>
      </c>
      <c r="G668" t="s">
        <v>2304</v>
      </c>
    </row>
    <row r="669" spans="1:7" x14ac:dyDescent="0.25">
      <c r="A669" t="str">
        <f t="shared" si="67"/>
        <v>163WR0006X</v>
      </c>
      <c r="B669" t="str">
        <f>"31"</f>
        <v>31</v>
      </c>
      <c r="C669" t="str">
        <f>"172"</f>
        <v>172</v>
      </c>
      <c r="D669" t="s">
        <v>2305</v>
      </c>
      <c r="E669" t="s">
        <v>2306</v>
      </c>
      <c r="F669" t="s">
        <v>401</v>
      </c>
      <c r="G669" t="s">
        <v>2307</v>
      </c>
    </row>
    <row r="670" spans="1:7" x14ac:dyDescent="0.25">
      <c r="A670" t="str">
        <f t="shared" si="67"/>
        <v>163WC1500X</v>
      </c>
      <c r="B670" t="str">
        <f>"31"</f>
        <v>31</v>
      </c>
      <c r="C670" t="str">
        <f>"173"</f>
        <v>173</v>
      </c>
      <c r="D670" t="s">
        <v>2305</v>
      </c>
      <c r="E670" t="s">
        <v>2308</v>
      </c>
      <c r="F670" t="s">
        <v>333</v>
      </c>
      <c r="G670" t="s">
        <v>2309</v>
      </c>
    </row>
    <row r="671" spans="1:7" x14ac:dyDescent="0.25">
      <c r="A671" t="str">
        <f t="shared" si="67"/>
        <v>163WC1500X</v>
      </c>
      <c r="B671" t="str">
        <f>"31"</f>
        <v>31</v>
      </c>
      <c r="C671" t="str">
        <f>"177"</f>
        <v>177</v>
      </c>
      <c r="D671" t="s">
        <v>2305</v>
      </c>
      <c r="E671" t="s">
        <v>2299</v>
      </c>
      <c r="F671" t="s">
        <v>333</v>
      </c>
      <c r="G671" t="s">
        <v>2309</v>
      </c>
    </row>
    <row r="672" spans="1:7" x14ac:dyDescent="0.25">
      <c r="A672" t="str">
        <f t="shared" si="67"/>
        <v>163W00000X</v>
      </c>
      <c r="B672" t="str">
        <f>"31"</f>
        <v>31</v>
      </c>
      <c r="C672" t="str">
        <f>"931"</f>
        <v>931</v>
      </c>
      <c r="D672" t="s">
        <v>2305</v>
      </c>
      <c r="E672" t="s">
        <v>2310</v>
      </c>
      <c r="F672" t="s">
        <v>321</v>
      </c>
      <c r="G672" t="s">
        <v>2311</v>
      </c>
    </row>
    <row r="673" spans="1:7" x14ac:dyDescent="0.25">
      <c r="A673" t="str">
        <f t="shared" si="67"/>
        <v>104100000X</v>
      </c>
      <c r="B673" t="str">
        <f t="shared" ref="B673:B681" si="68">"32"</f>
        <v>32</v>
      </c>
      <c r="C673" t="str">
        <f>"174"</f>
        <v>174</v>
      </c>
      <c r="D673" t="s">
        <v>2312</v>
      </c>
      <c r="E673" t="s">
        <v>2313</v>
      </c>
      <c r="F673" t="s">
        <v>188</v>
      </c>
      <c r="G673" t="s">
        <v>2314</v>
      </c>
    </row>
    <row r="674" spans="1:7" x14ac:dyDescent="0.25">
      <c r="A674" t="str">
        <f t="shared" si="67"/>
        <v>1041C0700X</v>
      </c>
      <c r="B674" t="str">
        <f t="shared" si="68"/>
        <v>32</v>
      </c>
      <c r="C674" t="str">
        <f>"174"</f>
        <v>174</v>
      </c>
      <c r="D674" t="s">
        <v>2312</v>
      </c>
      <c r="E674" t="s">
        <v>2313</v>
      </c>
      <c r="F674" t="s">
        <v>190</v>
      </c>
      <c r="G674" t="s">
        <v>2315</v>
      </c>
    </row>
    <row r="675" spans="1:7" x14ac:dyDescent="0.25">
      <c r="A675" t="str">
        <f t="shared" si="67"/>
        <v>171M00000X</v>
      </c>
      <c r="B675" t="str">
        <f t="shared" si="68"/>
        <v>32</v>
      </c>
      <c r="C675" t="str">
        <f>"174"</f>
        <v>174</v>
      </c>
      <c r="D675" t="s">
        <v>2312</v>
      </c>
      <c r="E675" t="s">
        <v>2313</v>
      </c>
      <c r="F675" t="s">
        <v>453</v>
      </c>
      <c r="G675" t="s">
        <v>2316</v>
      </c>
    </row>
    <row r="676" spans="1:7" x14ac:dyDescent="0.25">
      <c r="A676" t="str">
        <f t="shared" si="67"/>
        <v>104100000X</v>
      </c>
      <c r="B676" t="str">
        <f t="shared" si="68"/>
        <v>32</v>
      </c>
      <c r="C676" t="str">
        <f>"175"</f>
        <v>175</v>
      </c>
      <c r="D676" t="s">
        <v>2312</v>
      </c>
      <c r="E676" t="s">
        <v>2317</v>
      </c>
      <c r="F676" t="s">
        <v>188</v>
      </c>
      <c r="G676" t="s">
        <v>2314</v>
      </c>
    </row>
    <row r="677" spans="1:7" x14ac:dyDescent="0.25">
      <c r="A677" t="str">
        <f t="shared" si="67"/>
        <v>104100000X</v>
      </c>
      <c r="B677" t="str">
        <f t="shared" si="68"/>
        <v>32</v>
      </c>
      <c r="C677" t="str">
        <f>"176"</f>
        <v>176</v>
      </c>
      <c r="D677" t="s">
        <v>2312</v>
      </c>
      <c r="E677" t="s">
        <v>2318</v>
      </c>
      <c r="F677" t="s">
        <v>188</v>
      </c>
      <c r="G677" t="s">
        <v>2314</v>
      </c>
    </row>
    <row r="678" spans="1:7" x14ac:dyDescent="0.25">
      <c r="A678" t="str">
        <f t="shared" si="67"/>
        <v>1041C0700X</v>
      </c>
      <c r="B678" t="str">
        <f t="shared" si="68"/>
        <v>32</v>
      </c>
      <c r="C678" t="str">
        <f>"177"</f>
        <v>177</v>
      </c>
      <c r="D678" t="s">
        <v>2312</v>
      </c>
      <c r="E678" t="s">
        <v>2299</v>
      </c>
      <c r="F678" t="s">
        <v>190</v>
      </c>
      <c r="G678" t="s">
        <v>2315</v>
      </c>
    </row>
    <row r="679" spans="1:7" x14ac:dyDescent="0.25">
      <c r="A679" t="str">
        <f t="shared" si="67"/>
        <v>104100000X</v>
      </c>
      <c r="B679" t="str">
        <f t="shared" si="68"/>
        <v>32</v>
      </c>
      <c r="C679" t="str">
        <f>"932"</f>
        <v>932</v>
      </c>
      <c r="D679" t="s">
        <v>2312</v>
      </c>
      <c r="E679" t="s">
        <v>2312</v>
      </c>
      <c r="F679" t="s">
        <v>188</v>
      </c>
      <c r="G679" t="s">
        <v>2314</v>
      </c>
    </row>
    <row r="680" spans="1:7" x14ac:dyDescent="0.25">
      <c r="A680" t="str">
        <f t="shared" si="67"/>
        <v>1041C0700X</v>
      </c>
      <c r="B680" t="str">
        <f t="shared" si="68"/>
        <v>32</v>
      </c>
      <c r="C680" t="str">
        <f>"932"</f>
        <v>932</v>
      </c>
      <c r="D680" t="s">
        <v>2312</v>
      </c>
      <c r="E680" t="s">
        <v>2312</v>
      </c>
      <c r="F680" t="s">
        <v>190</v>
      </c>
      <c r="G680" t="s">
        <v>2315</v>
      </c>
    </row>
    <row r="681" spans="1:7" x14ac:dyDescent="0.25">
      <c r="A681" t="str">
        <f t="shared" si="67"/>
        <v>405300000X</v>
      </c>
      <c r="B681" t="str">
        <f t="shared" si="68"/>
        <v>32</v>
      </c>
      <c r="C681" t="str">
        <f>"932"</f>
        <v>932</v>
      </c>
      <c r="D681" t="s">
        <v>2312</v>
      </c>
      <c r="E681" t="s">
        <v>2312</v>
      </c>
      <c r="F681" t="s">
        <v>1839</v>
      </c>
      <c r="G681" t="s">
        <v>2319</v>
      </c>
    </row>
    <row r="682" spans="1:7" x14ac:dyDescent="0.25">
      <c r="A682" t="str">
        <f t="shared" si="67"/>
        <v>175M00000X</v>
      </c>
      <c r="B682" t="str">
        <f>"34"</f>
        <v>34</v>
      </c>
      <c r="C682" t="str">
        <f>"934"</f>
        <v>934</v>
      </c>
      <c r="D682" t="s">
        <v>2320</v>
      </c>
      <c r="E682" t="s">
        <v>2320</v>
      </c>
      <c r="F682" t="s">
        <v>503</v>
      </c>
      <c r="G682" t="s">
        <v>2321</v>
      </c>
    </row>
    <row r="683" spans="1:7" x14ac:dyDescent="0.25">
      <c r="A683" t="str">
        <f t="shared" si="67"/>
        <v>176B00000X</v>
      </c>
      <c r="B683" t="str">
        <f>"34"</f>
        <v>34</v>
      </c>
      <c r="C683" t="str">
        <f>"934"</f>
        <v>934</v>
      </c>
      <c r="D683" t="s">
        <v>2320</v>
      </c>
      <c r="E683" t="s">
        <v>2320</v>
      </c>
      <c r="F683" t="s">
        <v>507</v>
      </c>
      <c r="G683" t="s">
        <v>2322</v>
      </c>
    </row>
    <row r="684" spans="1:7" x14ac:dyDescent="0.25">
      <c r="A684" t="str">
        <f t="shared" si="67"/>
        <v>122400000X</v>
      </c>
      <c r="B684" t="str">
        <f t="shared" ref="B684:B696" si="69">"35"</f>
        <v>35</v>
      </c>
      <c r="C684" t="str">
        <f>"070"</f>
        <v>070</v>
      </c>
      <c r="D684" t="s">
        <v>2323</v>
      </c>
      <c r="E684" t="s">
        <v>2324</v>
      </c>
      <c r="F684" t="s">
        <v>251</v>
      </c>
      <c r="G684" t="s">
        <v>2325</v>
      </c>
    </row>
    <row r="685" spans="1:7" x14ac:dyDescent="0.25">
      <c r="A685" t="str">
        <f t="shared" si="67"/>
        <v>122300000X</v>
      </c>
      <c r="B685" t="str">
        <f t="shared" si="69"/>
        <v>35</v>
      </c>
      <c r="C685" t="str">
        <f t="shared" ref="C685:C691" si="70">"071"</f>
        <v>071</v>
      </c>
      <c r="D685" t="s">
        <v>2323</v>
      </c>
      <c r="E685" t="s">
        <v>2326</v>
      </c>
      <c r="F685" t="s">
        <v>224</v>
      </c>
      <c r="G685" t="s">
        <v>2323</v>
      </c>
    </row>
    <row r="686" spans="1:7" x14ac:dyDescent="0.25">
      <c r="A686" t="str">
        <f t="shared" si="67"/>
        <v>1223D0004X</v>
      </c>
      <c r="B686" t="str">
        <f t="shared" si="69"/>
        <v>35</v>
      </c>
      <c r="C686" t="str">
        <f t="shared" si="70"/>
        <v>071</v>
      </c>
      <c r="D686" t="s">
        <v>2323</v>
      </c>
      <c r="E686" t="s">
        <v>2326</v>
      </c>
      <c r="F686" t="s">
        <v>228</v>
      </c>
      <c r="G686" t="s">
        <v>2327</v>
      </c>
    </row>
    <row r="687" spans="1:7" x14ac:dyDescent="0.25">
      <c r="A687" t="str">
        <f t="shared" si="67"/>
        <v>1223E0200X</v>
      </c>
      <c r="B687" t="str">
        <f t="shared" si="69"/>
        <v>35</v>
      </c>
      <c r="C687" t="str">
        <f t="shared" si="70"/>
        <v>071</v>
      </c>
      <c r="D687" t="s">
        <v>2323</v>
      </c>
      <c r="E687" t="s">
        <v>2326</v>
      </c>
      <c r="F687" t="s">
        <v>231</v>
      </c>
      <c r="G687" t="s">
        <v>2328</v>
      </c>
    </row>
    <row r="688" spans="1:7" x14ac:dyDescent="0.25">
      <c r="A688" t="str">
        <f t="shared" si="67"/>
        <v>1223G0001X</v>
      </c>
      <c r="B688" t="str">
        <f t="shared" si="69"/>
        <v>35</v>
      </c>
      <c r="C688" t="str">
        <f t="shared" si="70"/>
        <v>071</v>
      </c>
      <c r="D688" t="s">
        <v>2323</v>
      </c>
      <c r="E688" t="s">
        <v>2326</v>
      </c>
      <c r="F688" t="s">
        <v>233</v>
      </c>
      <c r="G688" t="s">
        <v>2329</v>
      </c>
    </row>
    <row r="689" spans="1:7" x14ac:dyDescent="0.25">
      <c r="A689" t="str">
        <f t="shared" si="67"/>
        <v>1223P0106X</v>
      </c>
      <c r="B689" t="str">
        <f t="shared" si="69"/>
        <v>35</v>
      </c>
      <c r="C689" t="str">
        <f t="shared" si="70"/>
        <v>071</v>
      </c>
      <c r="D689" t="s">
        <v>2323</v>
      </c>
      <c r="E689" t="s">
        <v>2326</v>
      </c>
      <c r="F689" t="s">
        <v>235</v>
      </c>
      <c r="G689" t="s">
        <v>2330</v>
      </c>
    </row>
    <row r="690" spans="1:7" x14ac:dyDescent="0.25">
      <c r="A690" t="str">
        <f t="shared" si="67"/>
        <v>1223P0300X</v>
      </c>
      <c r="B690" t="str">
        <f t="shared" si="69"/>
        <v>35</v>
      </c>
      <c r="C690" t="str">
        <f t="shared" si="70"/>
        <v>071</v>
      </c>
      <c r="D690" t="s">
        <v>2323</v>
      </c>
      <c r="E690" t="s">
        <v>2326</v>
      </c>
      <c r="F690" t="s">
        <v>239</v>
      </c>
      <c r="G690" t="s">
        <v>2331</v>
      </c>
    </row>
    <row r="691" spans="1:7" x14ac:dyDescent="0.25">
      <c r="A691" t="str">
        <f t="shared" si="67"/>
        <v>1223P0700X</v>
      </c>
      <c r="B691" t="str">
        <f t="shared" si="69"/>
        <v>35</v>
      </c>
      <c r="C691" t="str">
        <f t="shared" si="70"/>
        <v>071</v>
      </c>
      <c r="D691" t="s">
        <v>2323</v>
      </c>
      <c r="E691" t="s">
        <v>2326</v>
      </c>
      <c r="F691" t="s">
        <v>241</v>
      </c>
      <c r="G691" t="s">
        <v>2332</v>
      </c>
    </row>
    <row r="692" spans="1:7" x14ac:dyDescent="0.25">
      <c r="A692" t="str">
        <f t="shared" si="67"/>
        <v>1223S0112X</v>
      </c>
      <c r="B692" t="str">
        <f t="shared" si="69"/>
        <v>35</v>
      </c>
      <c r="C692" t="str">
        <f>"072"</f>
        <v>072</v>
      </c>
      <c r="D692" t="s">
        <v>2323</v>
      </c>
      <c r="E692" t="s">
        <v>2333</v>
      </c>
      <c r="F692" t="s">
        <v>243</v>
      </c>
      <c r="G692" t="s">
        <v>2334</v>
      </c>
    </row>
    <row r="693" spans="1:7" x14ac:dyDescent="0.25">
      <c r="A693" t="str">
        <f t="shared" si="67"/>
        <v>1223P0221X</v>
      </c>
      <c r="B693" t="str">
        <f t="shared" si="69"/>
        <v>35</v>
      </c>
      <c r="C693" t="str">
        <f>"073"</f>
        <v>073</v>
      </c>
      <c r="D693" t="s">
        <v>2323</v>
      </c>
      <c r="E693" t="s">
        <v>2335</v>
      </c>
      <c r="F693" t="s">
        <v>237</v>
      </c>
      <c r="G693" t="s">
        <v>2336</v>
      </c>
    </row>
    <row r="694" spans="1:7" x14ac:dyDescent="0.25">
      <c r="A694" t="str">
        <f t="shared" si="67"/>
        <v>1223D0001X</v>
      </c>
      <c r="B694" t="str">
        <f t="shared" si="69"/>
        <v>35</v>
      </c>
      <c r="C694" t="str">
        <f>"074"</f>
        <v>074</v>
      </c>
      <c r="D694" t="s">
        <v>2323</v>
      </c>
      <c r="E694" t="s">
        <v>2337</v>
      </c>
      <c r="F694" t="s">
        <v>226</v>
      </c>
      <c r="G694" t="s">
        <v>2338</v>
      </c>
    </row>
    <row r="695" spans="1:7" x14ac:dyDescent="0.25">
      <c r="A695" t="str">
        <f t="shared" si="67"/>
        <v>1223G0001X</v>
      </c>
      <c r="B695" t="str">
        <f t="shared" si="69"/>
        <v>35</v>
      </c>
      <c r="C695" t="str">
        <f>"074"</f>
        <v>074</v>
      </c>
      <c r="D695" t="s">
        <v>2323</v>
      </c>
      <c r="E695" t="s">
        <v>2337</v>
      </c>
      <c r="F695" t="s">
        <v>233</v>
      </c>
      <c r="G695" t="s">
        <v>2329</v>
      </c>
    </row>
    <row r="696" spans="1:7" x14ac:dyDescent="0.25">
      <c r="A696" t="str">
        <f t="shared" si="67"/>
        <v>1223X0400X</v>
      </c>
      <c r="B696" t="str">
        <f t="shared" si="69"/>
        <v>35</v>
      </c>
      <c r="C696" t="str">
        <f>"088"</f>
        <v>088</v>
      </c>
      <c r="D696" t="s">
        <v>2323</v>
      </c>
      <c r="E696" t="s">
        <v>2339</v>
      </c>
      <c r="F696" t="s">
        <v>247</v>
      </c>
      <c r="G696" t="s">
        <v>2340</v>
      </c>
    </row>
    <row r="697" spans="1:7" x14ac:dyDescent="0.25">
      <c r="A697" t="str">
        <f t="shared" si="67"/>
        <v>367H00000X</v>
      </c>
      <c r="B697" t="str">
        <f>"36"</f>
        <v>36</v>
      </c>
      <c r="C697" t="str">
        <f>"130"</f>
        <v>130</v>
      </c>
      <c r="D697" t="s">
        <v>2341</v>
      </c>
      <c r="E697" t="s">
        <v>2342</v>
      </c>
      <c r="F697" t="s">
        <v>1799</v>
      </c>
      <c r="G697" t="s">
        <v>2343</v>
      </c>
    </row>
    <row r="698" spans="1:7" x14ac:dyDescent="0.25">
      <c r="A698" t="str">
        <f t="shared" si="67"/>
        <v>124Q00000X</v>
      </c>
      <c r="B698" t="str">
        <f>"37"</f>
        <v>37</v>
      </c>
      <c r="C698" t="str">
        <f>"937"</f>
        <v>937</v>
      </c>
      <c r="D698" t="s">
        <v>2344</v>
      </c>
      <c r="E698" t="s">
        <v>2344</v>
      </c>
      <c r="F698" t="s">
        <v>253</v>
      </c>
      <c r="G698" t="s">
        <v>2345</v>
      </c>
    </row>
    <row r="699" spans="1:7" x14ac:dyDescent="0.25">
      <c r="A699" t="str">
        <f t="shared" si="67"/>
        <v>125K00000X</v>
      </c>
      <c r="B699" t="str">
        <f>"37"</f>
        <v>37</v>
      </c>
      <c r="C699" t="str">
        <f>"937"</f>
        <v>937</v>
      </c>
      <c r="D699" t="s">
        <v>2344</v>
      </c>
      <c r="E699" t="s">
        <v>2344</v>
      </c>
      <c r="F699" t="s">
        <v>257</v>
      </c>
      <c r="G699" t="s">
        <v>2346</v>
      </c>
    </row>
    <row r="700" spans="1:7" x14ac:dyDescent="0.25">
      <c r="A700" t="str">
        <f t="shared" si="67"/>
        <v>101YA0400X</v>
      </c>
      <c r="B700" t="str">
        <f t="shared" ref="B700:B727" si="71">"39"</f>
        <v>39</v>
      </c>
      <c r="C700" t="str">
        <f>"390"</f>
        <v>390</v>
      </c>
      <c r="D700" t="s">
        <v>2347</v>
      </c>
      <c r="E700" t="s">
        <v>2348</v>
      </c>
      <c r="F700" t="s">
        <v>123</v>
      </c>
      <c r="G700" t="s">
        <v>2349</v>
      </c>
    </row>
    <row r="701" spans="1:7" x14ac:dyDescent="0.25">
      <c r="A701" t="str">
        <f t="shared" si="67"/>
        <v>106S00000X</v>
      </c>
      <c r="B701" t="str">
        <f t="shared" si="71"/>
        <v>39</v>
      </c>
      <c r="C701" t="str">
        <f>"390"</f>
        <v>390</v>
      </c>
      <c r="D701" t="s">
        <v>2347</v>
      </c>
      <c r="E701" t="s">
        <v>2348</v>
      </c>
      <c r="F701" t="s">
        <v>198</v>
      </c>
      <c r="G701" t="s">
        <v>2350</v>
      </c>
    </row>
    <row r="702" spans="1:7" x14ac:dyDescent="0.25">
      <c r="A702" t="str">
        <f t="shared" si="67"/>
        <v>101Y00000X</v>
      </c>
      <c r="B702" t="str">
        <f t="shared" si="71"/>
        <v>39</v>
      </c>
      <c r="C702" t="str">
        <f>"391"</f>
        <v>391</v>
      </c>
      <c r="D702" t="s">
        <v>2347</v>
      </c>
      <c r="E702" t="s">
        <v>2351</v>
      </c>
      <c r="F702" t="s">
        <v>121</v>
      </c>
      <c r="G702" t="s">
        <v>2352</v>
      </c>
    </row>
    <row r="703" spans="1:7" x14ac:dyDescent="0.25">
      <c r="A703" t="str">
        <f t="shared" si="67"/>
        <v>101YA0400X</v>
      </c>
      <c r="B703" t="str">
        <f t="shared" si="71"/>
        <v>39</v>
      </c>
      <c r="C703" t="str">
        <f>"391"</f>
        <v>391</v>
      </c>
      <c r="D703" t="s">
        <v>2347</v>
      </c>
      <c r="E703" t="s">
        <v>2351</v>
      </c>
      <c r="F703" t="s">
        <v>123</v>
      </c>
      <c r="G703" t="s">
        <v>2349</v>
      </c>
    </row>
    <row r="704" spans="1:7" x14ac:dyDescent="0.25">
      <c r="A704" t="str">
        <f t="shared" si="67"/>
        <v>106E00000X</v>
      </c>
      <c r="B704" t="str">
        <f t="shared" si="71"/>
        <v>39</v>
      </c>
      <c r="C704" t="str">
        <f>"391"</f>
        <v>391</v>
      </c>
      <c r="D704" t="s">
        <v>2347</v>
      </c>
      <c r="E704" t="s">
        <v>2351</v>
      </c>
      <c r="F704" t="s">
        <v>194</v>
      </c>
      <c r="G704" t="s">
        <v>2351</v>
      </c>
    </row>
    <row r="705" spans="1:7" x14ac:dyDescent="0.25">
      <c r="A705" t="str">
        <f t="shared" si="67"/>
        <v>101Y00000X</v>
      </c>
      <c r="B705" t="str">
        <f t="shared" si="71"/>
        <v>39</v>
      </c>
      <c r="C705" t="str">
        <f t="shared" ref="C705:C726" si="72">"392"</f>
        <v>392</v>
      </c>
      <c r="D705" t="s">
        <v>2347</v>
      </c>
      <c r="E705" t="s">
        <v>2353</v>
      </c>
      <c r="F705" t="s">
        <v>121</v>
      </c>
      <c r="G705" t="s">
        <v>2352</v>
      </c>
    </row>
    <row r="706" spans="1:7" x14ac:dyDescent="0.25">
      <c r="A706" t="str">
        <f t="shared" si="67"/>
        <v>101YA0400X</v>
      </c>
      <c r="B706" t="str">
        <f t="shared" si="71"/>
        <v>39</v>
      </c>
      <c r="C706" t="str">
        <f t="shared" si="72"/>
        <v>392</v>
      </c>
      <c r="D706" t="s">
        <v>2347</v>
      </c>
      <c r="E706" t="s">
        <v>2353</v>
      </c>
      <c r="F706" t="s">
        <v>123</v>
      </c>
      <c r="G706" t="s">
        <v>2349</v>
      </c>
    </row>
    <row r="707" spans="1:7" x14ac:dyDescent="0.25">
      <c r="A707" t="str">
        <f t="shared" ref="A707:A770" si="73">CLEAN(F707)</f>
        <v>101YP2500X</v>
      </c>
      <c r="B707" t="str">
        <f t="shared" si="71"/>
        <v>39</v>
      </c>
      <c r="C707" t="str">
        <f t="shared" si="72"/>
        <v>392</v>
      </c>
      <c r="D707" t="s">
        <v>2347</v>
      </c>
      <c r="E707" t="s">
        <v>2353</v>
      </c>
      <c r="F707" t="s">
        <v>129</v>
      </c>
      <c r="G707" t="s">
        <v>2354</v>
      </c>
    </row>
    <row r="708" spans="1:7" x14ac:dyDescent="0.25">
      <c r="A708" t="str">
        <f t="shared" si="73"/>
        <v>102L00000X</v>
      </c>
      <c r="B708" t="str">
        <f t="shared" si="71"/>
        <v>39</v>
      </c>
      <c r="C708" t="str">
        <f t="shared" si="72"/>
        <v>392</v>
      </c>
      <c r="D708" t="s">
        <v>2347</v>
      </c>
      <c r="E708" t="s">
        <v>2353</v>
      </c>
      <c r="F708" t="s">
        <v>133</v>
      </c>
      <c r="G708" t="s">
        <v>2355</v>
      </c>
    </row>
    <row r="709" spans="1:7" x14ac:dyDescent="0.25">
      <c r="A709" t="str">
        <f t="shared" si="73"/>
        <v>103G00000X</v>
      </c>
      <c r="B709" t="str">
        <f t="shared" si="71"/>
        <v>39</v>
      </c>
      <c r="C709" t="str">
        <f t="shared" si="72"/>
        <v>392</v>
      </c>
      <c r="D709" t="s">
        <v>2347</v>
      </c>
      <c r="E709" t="s">
        <v>2353</v>
      </c>
      <c r="F709" t="s">
        <v>138</v>
      </c>
      <c r="G709" t="s">
        <v>2356</v>
      </c>
    </row>
    <row r="710" spans="1:7" x14ac:dyDescent="0.25">
      <c r="A710" t="str">
        <f t="shared" si="73"/>
        <v>103K00000X</v>
      </c>
      <c r="B710" t="str">
        <f t="shared" si="71"/>
        <v>39</v>
      </c>
      <c r="C710" t="str">
        <f t="shared" si="72"/>
        <v>392</v>
      </c>
      <c r="D710" t="s">
        <v>2347</v>
      </c>
      <c r="E710" t="s">
        <v>2353</v>
      </c>
      <c r="F710" t="s">
        <v>142</v>
      </c>
      <c r="G710" t="s">
        <v>2357</v>
      </c>
    </row>
    <row r="711" spans="1:7" x14ac:dyDescent="0.25">
      <c r="A711" t="str">
        <f t="shared" si="73"/>
        <v>103TA0400X</v>
      </c>
      <c r="B711" t="str">
        <f t="shared" si="71"/>
        <v>39</v>
      </c>
      <c r="C711" t="str">
        <f t="shared" si="72"/>
        <v>392</v>
      </c>
      <c r="D711" t="s">
        <v>2347</v>
      </c>
      <c r="E711" t="s">
        <v>2353</v>
      </c>
      <c r="F711" t="s">
        <v>146</v>
      </c>
      <c r="G711" t="s">
        <v>2358</v>
      </c>
    </row>
    <row r="712" spans="1:7" x14ac:dyDescent="0.25">
      <c r="A712" t="str">
        <f t="shared" si="73"/>
        <v>103TA0700X</v>
      </c>
      <c r="B712" t="str">
        <f t="shared" si="71"/>
        <v>39</v>
      </c>
      <c r="C712" t="str">
        <f t="shared" si="72"/>
        <v>392</v>
      </c>
      <c r="D712" t="s">
        <v>2347</v>
      </c>
      <c r="E712" t="s">
        <v>2353</v>
      </c>
      <c r="F712" t="s">
        <v>148</v>
      </c>
      <c r="G712" t="s">
        <v>2359</v>
      </c>
    </row>
    <row r="713" spans="1:7" x14ac:dyDescent="0.25">
      <c r="A713" t="str">
        <f t="shared" si="73"/>
        <v>103TB0200X</v>
      </c>
      <c r="B713" t="str">
        <f t="shared" si="71"/>
        <v>39</v>
      </c>
      <c r="C713" t="str">
        <f t="shared" si="72"/>
        <v>392</v>
      </c>
      <c r="D713" t="s">
        <v>2347</v>
      </c>
      <c r="E713" t="s">
        <v>2353</v>
      </c>
      <c r="F713" t="s">
        <v>150</v>
      </c>
      <c r="G713" t="s">
        <v>2360</v>
      </c>
    </row>
    <row r="714" spans="1:7" x14ac:dyDescent="0.25">
      <c r="A714" t="str">
        <f t="shared" si="73"/>
        <v>103TC0700X</v>
      </c>
      <c r="B714" t="str">
        <f t="shared" si="71"/>
        <v>39</v>
      </c>
      <c r="C714" t="str">
        <f t="shared" si="72"/>
        <v>392</v>
      </c>
      <c r="D714" t="s">
        <v>2347</v>
      </c>
      <c r="E714" t="s">
        <v>2353</v>
      </c>
      <c r="F714" t="s">
        <v>152</v>
      </c>
      <c r="G714" t="s">
        <v>2361</v>
      </c>
    </row>
    <row r="715" spans="1:7" x14ac:dyDescent="0.25">
      <c r="A715" t="str">
        <f t="shared" si="73"/>
        <v>103TC1900X</v>
      </c>
      <c r="B715" t="str">
        <f t="shared" si="71"/>
        <v>39</v>
      </c>
      <c r="C715" t="str">
        <f t="shared" si="72"/>
        <v>392</v>
      </c>
      <c r="D715" t="s">
        <v>2347</v>
      </c>
      <c r="E715" t="s">
        <v>2353</v>
      </c>
      <c r="F715" t="s">
        <v>154</v>
      </c>
      <c r="G715" t="s">
        <v>2362</v>
      </c>
    </row>
    <row r="716" spans="1:7" x14ac:dyDescent="0.25">
      <c r="A716" t="str">
        <f t="shared" si="73"/>
        <v>103TC2200X</v>
      </c>
      <c r="B716" t="str">
        <f t="shared" si="71"/>
        <v>39</v>
      </c>
      <c r="C716" t="str">
        <f t="shared" si="72"/>
        <v>392</v>
      </c>
      <c r="D716" t="s">
        <v>2347</v>
      </c>
      <c r="E716" t="s">
        <v>2353</v>
      </c>
      <c r="F716" t="s">
        <v>156</v>
      </c>
      <c r="G716" t="s">
        <v>2363</v>
      </c>
    </row>
    <row r="717" spans="1:7" x14ac:dyDescent="0.25">
      <c r="A717" t="str">
        <f t="shared" si="73"/>
        <v>103TE1100X</v>
      </c>
      <c r="B717" t="str">
        <f t="shared" si="71"/>
        <v>39</v>
      </c>
      <c r="C717" t="str">
        <f t="shared" si="72"/>
        <v>392</v>
      </c>
      <c r="D717" t="s">
        <v>2347</v>
      </c>
      <c r="E717" t="s">
        <v>2353</v>
      </c>
      <c r="F717" t="s">
        <v>160</v>
      </c>
      <c r="G717" t="s">
        <v>2364</v>
      </c>
    </row>
    <row r="718" spans="1:7" x14ac:dyDescent="0.25">
      <c r="A718" t="str">
        <f t="shared" si="73"/>
        <v>103TF0000X</v>
      </c>
      <c r="B718" t="str">
        <f t="shared" si="71"/>
        <v>39</v>
      </c>
      <c r="C718" t="str">
        <f t="shared" si="72"/>
        <v>392</v>
      </c>
      <c r="D718" t="s">
        <v>2347</v>
      </c>
      <c r="E718" t="s">
        <v>2353</v>
      </c>
      <c r="F718" t="s">
        <v>162</v>
      </c>
      <c r="G718" t="s">
        <v>2365</v>
      </c>
    </row>
    <row r="719" spans="1:7" x14ac:dyDescent="0.25">
      <c r="A719" t="str">
        <f t="shared" si="73"/>
        <v>103TF0200X</v>
      </c>
      <c r="B719" t="str">
        <f t="shared" si="71"/>
        <v>39</v>
      </c>
      <c r="C719" t="str">
        <f t="shared" si="72"/>
        <v>392</v>
      </c>
      <c r="D719" t="s">
        <v>2347</v>
      </c>
      <c r="E719" t="s">
        <v>2353</v>
      </c>
      <c r="F719" t="s">
        <v>164</v>
      </c>
      <c r="G719" t="s">
        <v>2366</v>
      </c>
    </row>
    <row r="720" spans="1:7" x14ac:dyDescent="0.25">
      <c r="A720" t="str">
        <f t="shared" si="73"/>
        <v>103TH0004X</v>
      </c>
      <c r="B720" t="str">
        <f t="shared" si="71"/>
        <v>39</v>
      </c>
      <c r="C720" t="str">
        <f t="shared" si="72"/>
        <v>392</v>
      </c>
      <c r="D720" t="s">
        <v>2347</v>
      </c>
      <c r="E720" t="s">
        <v>2353</v>
      </c>
      <c r="F720" t="s">
        <v>166</v>
      </c>
      <c r="G720" t="s">
        <v>2367</v>
      </c>
    </row>
    <row r="721" spans="1:7" x14ac:dyDescent="0.25">
      <c r="A721" t="str">
        <f t="shared" si="73"/>
        <v>103TH0100X</v>
      </c>
      <c r="B721" t="str">
        <f t="shared" si="71"/>
        <v>39</v>
      </c>
      <c r="C721" t="str">
        <f t="shared" si="72"/>
        <v>392</v>
      </c>
      <c r="D721" t="s">
        <v>2347</v>
      </c>
      <c r="E721" t="s">
        <v>2353</v>
      </c>
      <c r="F721" t="s">
        <v>168</v>
      </c>
      <c r="G721" t="s">
        <v>2368</v>
      </c>
    </row>
    <row r="722" spans="1:7" x14ac:dyDescent="0.25">
      <c r="A722" t="str">
        <f t="shared" si="73"/>
        <v>103TM1800X</v>
      </c>
      <c r="B722" t="str">
        <f t="shared" si="71"/>
        <v>39</v>
      </c>
      <c r="C722" t="str">
        <f t="shared" si="72"/>
        <v>392</v>
      </c>
      <c r="D722" t="s">
        <v>2347</v>
      </c>
      <c r="E722" t="s">
        <v>2353</v>
      </c>
      <c r="F722" t="s">
        <v>172</v>
      </c>
      <c r="G722" t="s">
        <v>2369</v>
      </c>
    </row>
    <row r="723" spans="1:7" x14ac:dyDescent="0.25">
      <c r="A723" t="str">
        <f t="shared" si="73"/>
        <v>103TP0016X</v>
      </c>
      <c r="B723" t="str">
        <f t="shared" si="71"/>
        <v>39</v>
      </c>
      <c r="C723" t="str">
        <f t="shared" si="72"/>
        <v>392</v>
      </c>
      <c r="D723" t="s">
        <v>2347</v>
      </c>
      <c r="E723" t="s">
        <v>2353</v>
      </c>
      <c r="F723" t="s">
        <v>174</v>
      </c>
      <c r="G723" t="s">
        <v>2370</v>
      </c>
    </row>
    <row r="724" spans="1:7" x14ac:dyDescent="0.25">
      <c r="A724" t="str">
        <f t="shared" si="73"/>
        <v>103TP0814X</v>
      </c>
      <c r="B724" t="str">
        <f t="shared" si="71"/>
        <v>39</v>
      </c>
      <c r="C724" t="str">
        <f t="shared" si="72"/>
        <v>392</v>
      </c>
      <c r="D724" t="s">
        <v>2347</v>
      </c>
      <c r="E724" t="s">
        <v>2353</v>
      </c>
      <c r="F724" t="s">
        <v>176</v>
      </c>
      <c r="G724" t="s">
        <v>2371</v>
      </c>
    </row>
    <row r="725" spans="1:7" x14ac:dyDescent="0.25">
      <c r="A725" t="str">
        <f t="shared" si="73"/>
        <v>103TR0400X</v>
      </c>
      <c r="B725" t="str">
        <f t="shared" si="71"/>
        <v>39</v>
      </c>
      <c r="C725" t="str">
        <f t="shared" si="72"/>
        <v>392</v>
      </c>
      <c r="D725" t="s">
        <v>2347</v>
      </c>
      <c r="E725" t="s">
        <v>2353</v>
      </c>
      <c r="F725" t="s">
        <v>182</v>
      </c>
      <c r="G725" t="s">
        <v>2372</v>
      </c>
    </row>
    <row r="726" spans="1:7" x14ac:dyDescent="0.25">
      <c r="A726" t="str">
        <f t="shared" si="73"/>
        <v>103TS0200X</v>
      </c>
      <c r="B726" t="str">
        <f t="shared" si="71"/>
        <v>39</v>
      </c>
      <c r="C726" t="str">
        <f t="shared" si="72"/>
        <v>392</v>
      </c>
      <c r="D726" t="s">
        <v>2347</v>
      </c>
      <c r="E726" t="s">
        <v>2353</v>
      </c>
      <c r="F726" t="s">
        <v>184</v>
      </c>
      <c r="G726" t="s">
        <v>2373</v>
      </c>
    </row>
    <row r="727" spans="1:7" x14ac:dyDescent="0.25">
      <c r="A727" t="str">
        <f t="shared" si="73"/>
        <v>103K00000X</v>
      </c>
      <c r="B727" t="str">
        <f t="shared" si="71"/>
        <v>39</v>
      </c>
      <c r="C727" t="str">
        <f>"393"</f>
        <v>393</v>
      </c>
      <c r="D727" t="s">
        <v>2347</v>
      </c>
      <c r="E727" t="s">
        <v>2374</v>
      </c>
      <c r="F727" t="s">
        <v>142</v>
      </c>
      <c r="G727" t="s">
        <v>2357</v>
      </c>
    </row>
    <row r="728" spans="1:7" x14ac:dyDescent="0.25">
      <c r="A728" t="str">
        <f t="shared" si="73"/>
        <v>341600000X</v>
      </c>
      <c r="B728" t="str">
        <f>"40"</f>
        <v>40</v>
      </c>
      <c r="C728" t="str">
        <f>"940"</f>
        <v>940</v>
      </c>
      <c r="D728" t="s">
        <v>2375</v>
      </c>
      <c r="E728" t="s">
        <v>2375</v>
      </c>
      <c r="F728" t="s">
        <v>1651</v>
      </c>
      <c r="G728" t="s">
        <v>2375</v>
      </c>
    </row>
    <row r="729" spans="1:7" x14ac:dyDescent="0.25">
      <c r="A729" t="str">
        <f t="shared" si="73"/>
        <v>3416L0300X</v>
      </c>
      <c r="B729" t="str">
        <f>"40"</f>
        <v>40</v>
      </c>
      <c r="C729" t="str">
        <f>"940"</f>
        <v>940</v>
      </c>
      <c r="D729" t="s">
        <v>2375</v>
      </c>
      <c r="E729" t="s">
        <v>2375</v>
      </c>
      <c r="F729" t="s">
        <v>1655</v>
      </c>
      <c r="G729" t="s">
        <v>2376</v>
      </c>
    </row>
    <row r="730" spans="1:7" x14ac:dyDescent="0.25">
      <c r="A730" t="str">
        <f t="shared" si="73"/>
        <v>3416S0300X</v>
      </c>
      <c r="B730" t="str">
        <f>"40"</f>
        <v>40</v>
      </c>
      <c r="C730" t="str">
        <f>"940"</f>
        <v>940</v>
      </c>
      <c r="D730" t="s">
        <v>2375</v>
      </c>
      <c r="E730" t="s">
        <v>2375</v>
      </c>
      <c r="F730" t="s">
        <v>1657</v>
      </c>
      <c r="G730" t="s">
        <v>2377</v>
      </c>
    </row>
    <row r="731" spans="1:7" x14ac:dyDescent="0.25">
      <c r="A731" t="str">
        <f t="shared" si="73"/>
        <v>342000000X</v>
      </c>
      <c r="B731" t="str">
        <f>"41"</f>
        <v>41</v>
      </c>
      <c r="C731" t="str">
        <f>"941"</f>
        <v>941</v>
      </c>
      <c r="D731" t="s">
        <v>2378</v>
      </c>
      <c r="E731" t="s">
        <v>2378</v>
      </c>
      <c r="F731" t="s">
        <v>1667</v>
      </c>
      <c r="G731" t="s">
        <v>2379</v>
      </c>
    </row>
    <row r="732" spans="1:7" x14ac:dyDescent="0.25">
      <c r="A732" t="str">
        <f t="shared" si="73"/>
        <v>343900000X</v>
      </c>
      <c r="B732" t="str">
        <f>"41"</f>
        <v>41</v>
      </c>
      <c r="C732" t="str">
        <f>"941"</f>
        <v>941</v>
      </c>
      <c r="D732" t="s">
        <v>2378</v>
      </c>
      <c r="E732" t="s">
        <v>2378</v>
      </c>
      <c r="F732" t="s">
        <v>1671</v>
      </c>
      <c r="G732" t="s">
        <v>2380</v>
      </c>
    </row>
    <row r="733" spans="1:7" x14ac:dyDescent="0.25">
      <c r="A733" t="str">
        <f t="shared" si="73"/>
        <v>3416A0800X</v>
      </c>
      <c r="B733" t="str">
        <f>"42"</f>
        <v>42</v>
      </c>
      <c r="C733" t="str">
        <f>"942"</f>
        <v>942</v>
      </c>
      <c r="D733" t="s">
        <v>2381</v>
      </c>
      <c r="E733" t="s">
        <v>2381</v>
      </c>
      <c r="F733" t="s">
        <v>1653</v>
      </c>
      <c r="G733" t="s">
        <v>2382</v>
      </c>
    </row>
    <row r="734" spans="1:7" x14ac:dyDescent="0.25">
      <c r="A734" t="str">
        <f t="shared" si="73"/>
        <v>344600000X</v>
      </c>
      <c r="B734" t="str">
        <f>"43"</f>
        <v>43</v>
      </c>
      <c r="C734" t="str">
        <f>"943"</f>
        <v>943</v>
      </c>
      <c r="D734" t="s">
        <v>2383</v>
      </c>
      <c r="E734" t="s">
        <v>2383</v>
      </c>
      <c r="F734" t="s">
        <v>1673</v>
      </c>
      <c r="G734" t="s">
        <v>2384</v>
      </c>
    </row>
    <row r="735" spans="1:7" x14ac:dyDescent="0.25">
      <c r="A735" t="str">
        <f t="shared" si="73"/>
        <v>3416A0800X</v>
      </c>
      <c r="B735" t="str">
        <f>"44"</f>
        <v>44</v>
      </c>
      <c r="C735" t="str">
        <f>"944"</f>
        <v>944</v>
      </c>
      <c r="D735" t="s">
        <v>2385</v>
      </c>
      <c r="E735" t="s">
        <v>2385</v>
      </c>
      <c r="F735" t="s">
        <v>1653</v>
      </c>
      <c r="G735" t="s">
        <v>2382</v>
      </c>
    </row>
    <row r="736" spans="1:7" x14ac:dyDescent="0.25">
      <c r="A736" t="str">
        <f t="shared" si="73"/>
        <v>3416L0300X</v>
      </c>
      <c r="B736" t="str">
        <f>"44"</f>
        <v>44</v>
      </c>
      <c r="C736" t="str">
        <f>"944"</f>
        <v>944</v>
      </c>
      <c r="D736" t="s">
        <v>2385</v>
      </c>
      <c r="E736" t="s">
        <v>2385</v>
      </c>
      <c r="F736" t="s">
        <v>1655</v>
      </c>
      <c r="G736" t="s">
        <v>2376</v>
      </c>
    </row>
    <row r="737" spans="1:7" x14ac:dyDescent="0.25">
      <c r="A737" t="str">
        <f t="shared" si="73"/>
        <v>3416S0300X</v>
      </c>
      <c r="B737" t="str">
        <f>"44"</f>
        <v>44</v>
      </c>
      <c r="C737" t="str">
        <f>"944"</f>
        <v>944</v>
      </c>
      <c r="D737" t="s">
        <v>2385</v>
      </c>
      <c r="E737" t="s">
        <v>2385</v>
      </c>
      <c r="F737" t="s">
        <v>1657</v>
      </c>
      <c r="G737" t="s">
        <v>2377</v>
      </c>
    </row>
    <row r="738" spans="1:7" x14ac:dyDescent="0.25">
      <c r="A738" t="str">
        <f t="shared" si="73"/>
        <v>347C00000X</v>
      </c>
      <c r="B738" t="str">
        <f>"45"</f>
        <v>45</v>
      </c>
      <c r="C738" t="str">
        <f>"945"</f>
        <v>945</v>
      </c>
      <c r="D738" t="s">
        <v>2386</v>
      </c>
      <c r="E738" t="s">
        <v>2386</v>
      </c>
      <c r="F738" t="s">
        <v>1679</v>
      </c>
      <c r="G738" t="s">
        <v>2387</v>
      </c>
    </row>
    <row r="739" spans="1:7" x14ac:dyDescent="0.25">
      <c r="A739" t="str">
        <f t="shared" si="73"/>
        <v>343900000X</v>
      </c>
      <c r="B739" t="str">
        <f>"46"</f>
        <v>46</v>
      </c>
      <c r="C739" t="str">
        <f>"946"</f>
        <v>946</v>
      </c>
      <c r="D739" t="s">
        <v>2388</v>
      </c>
      <c r="E739" t="s">
        <v>2388</v>
      </c>
      <c r="F739" t="s">
        <v>1671</v>
      </c>
      <c r="G739" t="s">
        <v>2380</v>
      </c>
    </row>
    <row r="740" spans="1:7" x14ac:dyDescent="0.25">
      <c r="A740" t="str">
        <f t="shared" si="73"/>
        <v>343900000X</v>
      </c>
      <c r="B740" t="str">
        <f>"47"</f>
        <v>47</v>
      </c>
      <c r="C740" t="str">
        <f>"947"</f>
        <v>947</v>
      </c>
      <c r="D740" t="s">
        <v>2389</v>
      </c>
      <c r="E740" t="s">
        <v>2389</v>
      </c>
      <c r="F740" t="s">
        <v>1671</v>
      </c>
      <c r="G740" t="s">
        <v>2380</v>
      </c>
    </row>
    <row r="741" spans="1:7" x14ac:dyDescent="0.25">
      <c r="A741" t="str">
        <f t="shared" si="73"/>
        <v>291U00000X</v>
      </c>
      <c r="B741" t="str">
        <f>"50"</f>
        <v>50</v>
      </c>
      <c r="C741" t="str">
        <f>"950"</f>
        <v>950</v>
      </c>
      <c r="D741" t="s">
        <v>2390</v>
      </c>
      <c r="E741" t="s">
        <v>2390</v>
      </c>
      <c r="F741" t="s">
        <v>1533</v>
      </c>
      <c r="G741" t="s">
        <v>2391</v>
      </c>
    </row>
    <row r="742" spans="1:7" x14ac:dyDescent="0.25">
      <c r="A742" t="str">
        <f t="shared" si="73"/>
        <v>261QR0207X</v>
      </c>
      <c r="B742" t="str">
        <f>"51"</f>
        <v>51</v>
      </c>
      <c r="C742" t="str">
        <f>"951"</f>
        <v>951</v>
      </c>
      <c r="D742" t="s">
        <v>2392</v>
      </c>
      <c r="E742" t="s">
        <v>2392</v>
      </c>
      <c r="F742" t="s">
        <v>1449</v>
      </c>
      <c r="G742" t="s">
        <v>2393</v>
      </c>
    </row>
    <row r="743" spans="1:7" x14ac:dyDescent="0.25">
      <c r="A743" t="str">
        <f t="shared" si="73"/>
        <v>261QR0208X</v>
      </c>
      <c r="B743" t="str">
        <f>"51"</f>
        <v>51</v>
      </c>
      <c r="C743" t="str">
        <f>"951"</f>
        <v>951</v>
      </c>
      <c r="D743" t="s">
        <v>2392</v>
      </c>
      <c r="E743" t="s">
        <v>2392</v>
      </c>
      <c r="F743" t="s">
        <v>1451</v>
      </c>
      <c r="G743" t="s">
        <v>2394</v>
      </c>
    </row>
    <row r="744" spans="1:7" x14ac:dyDescent="0.25">
      <c r="A744" t="str">
        <f t="shared" si="73"/>
        <v>335V00000X</v>
      </c>
      <c r="B744" t="str">
        <f>"51"</f>
        <v>51</v>
      </c>
      <c r="C744" t="str">
        <f>"951"</f>
        <v>951</v>
      </c>
      <c r="D744" t="s">
        <v>2392</v>
      </c>
      <c r="E744" t="s">
        <v>2392</v>
      </c>
      <c r="F744" t="s">
        <v>1649</v>
      </c>
      <c r="G744" t="s">
        <v>2395</v>
      </c>
    </row>
    <row r="745" spans="1:7" x14ac:dyDescent="0.25">
      <c r="A745" t="str">
        <f t="shared" si="73"/>
        <v>231H00000X</v>
      </c>
      <c r="B745" t="str">
        <f>"60"</f>
        <v>60</v>
      </c>
      <c r="C745" t="str">
        <f>"960"</f>
        <v>960</v>
      </c>
      <c r="D745" t="s">
        <v>2396</v>
      </c>
      <c r="E745" t="s">
        <v>2396</v>
      </c>
      <c r="F745" t="s">
        <v>1179</v>
      </c>
      <c r="G745" t="s">
        <v>2396</v>
      </c>
    </row>
    <row r="746" spans="1:7" x14ac:dyDescent="0.25">
      <c r="A746" t="str">
        <f t="shared" si="73"/>
        <v>231HA2400X</v>
      </c>
      <c r="B746" t="str">
        <f>"60"</f>
        <v>60</v>
      </c>
      <c r="C746" t="str">
        <f>"960"</f>
        <v>960</v>
      </c>
      <c r="D746" t="s">
        <v>2396</v>
      </c>
      <c r="E746" t="s">
        <v>2396</v>
      </c>
      <c r="F746" t="s">
        <v>1181</v>
      </c>
      <c r="G746" t="s">
        <v>2397</v>
      </c>
    </row>
    <row r="747" spans="1:7" x14ac:dyDescent="0.25">
      <c r="A747" t="str">
        <f t="shared" si="73"/>
        <v>231HA2500X</v>
      </c>
      <c r="B747" t="str">
        <f>"60"</f>
        <v>60</v>
      </c>
      <c r="C747" t="str">
        <f>"960"</f>
        <v>960</v>
      </c>
      <c r="D747" t="s">
        <v>2396</v>
      </c>
      <c r="E747" t="s">
        <v>2396</v>
      </c>
      <c r="F747" t="s">
        <v>1183</v>
      </c>
      <c r="G747" t="s">
        <v>2398</v>
      </c>
    </row>
    <row r="748" spans="1:7" x14ac:dyDescent="0.25">
      <c r="A748" t="str">
        <f t="shared" si="73"/>
        <v>235500000X</v>
      </c>
      <c r="B748" t="str">
        <f>"61"</f>
        <v>61</v>
      </c>
      <c r="C748" t="str">
        <f>"961"</f>
        <v>961</v>
      </c>
      <c r="D748" t="s">
        <v>2399</v>
      </c>
      <c r="E748" t="s">
        <v>2399</v>
      </c>
      <c r="F748" t="s">
        <v>1185</v>
      </c>
      <c r="G748" t="s">
        <v>2400</v>
      </c>
    </row>
    <row r="749" spans="1:7" x14ac:dyDescent="0.25">
      <c r="A749" t="str">
        <f t="shared" si="73"/>
        <v>237600000X</v>
      </c>
      <c r="B749" t="str">
        <f>"61"</f>
        <v>61</v>
      </c>
      <c r="C749" t="str">
        <f>"961"</f>
        <v>961</v>
      </c>
      <c r="D749" t="s">
        <v>2399</v>
      </c>
      <c r="E749" t="s">
        <v>2399</v>
      </c>
      <c r="F749" t="s">
        <v>1193</v>
      </c>
      <c r="G749" t="s">
        <v>2401</v>
      </c>
    </row>
    <row r="750" spans="1:7" x14ac:dyDescent="0.25">
      <c r="A750" t="str">
        <f t="shared" si="73"/>
        <v>237700000X</v>
      </c>
      <c r="B750" t="str">
        <f>"61"</f>
        <v>61</v>
      </c>
      <c r="C750" t="str">
        <f>"961"</f>
        <v>961</v>
      </c>
      <c r="D750" t="s">
        <v>2399</v>
      </c>
      <c r="E750" t="s">
        <v>2399</v>
      </c>
      <c r="F750" t="s">
        <v>1195</v>
      </c>
      <c r="G750" t="s">
        <v>2402</v>
      </c>
    </row>
    <row r="751" spans="1:7" x14ac:dyDescent="0.25">
      <c r="A751" t="str">
        <f t="shared" si="73"/>
        <v>152W00000X</v>
      </c>
      <c r="B751" t="str">
        <f t="shared" ref="B751:B758" si="74">"62"</f>
        <v>62</v>
      </c>
      <c r="C751" t="str">
        <f t="shared" ref="C751:C758" si="75">"962"</f>
        <v>962</v>
      </c>
      <c r="D751" t="s">
        <v>2403</v>
      </c>
      <c r="E751" t="s">
        <v>2403</v>
      </c>
      <c r="F751" t="s">
        <v>2404</v>
      </c>
      <c r="G751" t="s">
        <v>2403</v>
      </c>
    </row>
    <row r="752" spans="1:7" x14ac:dyDescent="0.25">
      <c r="A752" t="str">
        <f t="shared" si="73"/>
        <v>152WC0802X</v>
      </c>
      <c r="B752" t="str">
        <f t="shared" si="74"/>
        <v>62</v>
      </c>
      <c r="C752" t="str">
        <f t="shared" si="75"/>
        <v>962</v>
      </c>
      <c r="D752" t="s">
        <v>2403</v>
      </c>
      <c r="E752" t="s">
        <v>2403</v>
      </c>
      <c r="F752" t="s">
        <v>2405</v>
      </c>
      <c r="G752" t="s">
        <v>2406</v>
      </c>
    </row>
    <row r="753" spans="1:7" x14ac:dyDescent="0.25">
      <c r="A753" t="str">
        <f t="shared" si="73"/>
        <v>152WL0500X</v>
      </c>
      <c r="B753" t="str">
        <f t="shared" si="74"/>
        <v>62</v>
      </c>
      <c r="C753" t="str">
        <f t="shared" si="75"/>
        <v>962</v>
      </c>
      <c r="D753" t="s">
        <v>2403</v>
      </c>
      <c r="E753" t="s">
        <v>2403</v>
      </c>
      <c r="F753" t="s">
        <v>2407</v>
      </c>
      <c r="G753" t="s">
        <v>2408</v>
      </c>
    </row>
    <row r="754" spans="1:7" x14ac:dyDescent="0.25">
      <c r="A754" t="str">
        <f t="shared" si="73"/>
        <v>152WP0200X</v>
      </c>
      <c r="B754" t="str">
        <f t="shared" si="74"/>
        <v>62</v>
      </c>
      <c r="C754" t="str">
        <f t="shared" si="75"/>
        <v>962</v>
      </c>
      <c r="D754" t="s">
        <v>2403</v>
      </c>
      <c r="E754" t="s">
        <v>2403</v>
      </c>
      <c r="F754" t="s">
        <v>2409</v>
      </c>
      <c r="G754" t="s">
        <v>2410</v>
      </c>
    </row>
    <row r="755" spans="1:7" x14ac:dyDescent="0.25">
      <c r="A755" t="str">
        <f t="shared" si="73"/>
        <v>152WS0006X</v>
      </c>
      <c r="B755" t="str">
        <f t="shared" si="74"/>
        <v>62</v>
      </c>
      <c r="C755" t="str">
        <f t="shared" si="75"/>
        <v>962</v>
      </c>
      <c r="D755" t="s">
        <v>2403</v>
      </c>
      <c r="E755" t="s">
        <v>2403</v>
      </c>
      <c r="F755" t="s">
        <v>299</v>
      </c>
      <c r="G755" t="s">
        <v>2411</v>
      </c>
    </row>
    <row r="756" spans="1:7" x14ac:dyDescent="0.25">
      <c r="A756" t="str">
        <f t="shared" si="73"/>
        <v>152WV0400X</v>
      </c>
      <c r="B756" t="str">
        <f t="shared" si="74"/>
        <v>62</v>
      </c>
      <c r="C756" t="str">
        <f t="shared" si="75"/>
        <v>962</v>
      </c>
      <c r="D756" t="s">
        <v>2403</v>
      </c>
      <c r="E756" t="s">
        <v>2403</v>
      </c>
      <c r="F756" t="s">
        <v>2412</v>
      </c>
      <c r="G756" t="s">
        <v>2413</v>
      </c>
    </row>
    <row r="757" spans="1:7" x14ac:dyDescent="0.25">
      <c r="A757" t="str">
        <f t="shared" si="73"/>
        <v>152WX0102X</v>
      </c>
      <c r="B757" t="str">
        <f t="shared" si="74"/>
        <v>62</v>
      </c>
      <c r="C757" t="str">
        <f t="shared" si="75"/>
        <v>962</v>
      </c>
      <c r="D757" t="s">
        <v>2403</v>
      </c>
      <c r="E757" t="s">
        <v>2403</v>
      </c>
      <c r="F757" t="s">
        <v>2414</v>
      </c>
      <c r="G757" t="s">
        <v>2415</v>
      </c>
    </row>
    <row r="758" spans="1:7" x14ac:dyDescent="0.25">
      <c r="A758" t="str">
        <f t="shared" si="73"/>
        <v>302F00000X</v>
      </c>
      <c r="B758" t="str">
        <f t="shared" si="74"/>
        <v>62</v>
      </c>
      <c r="C758" t="str">
        <f t="shared" si="75"/>
        <v>962</v>
      </c>
      <c r="D758" t="s">
        <v>2403</v>
      </c>
      <c r="E758" t="s">
        <v>2403</v>
      </c>
      <c r="F758" t="s">
        <v>1539</v>
      </c>
      <c r="G758" t="s">
        <v>2416</v>
      </c>
    </row>
    <row r="759" spans="1:7" x14ac:dyDescent="0.25">
      <c r="A759" t="str">
        <f t="shared" si="73"/>
        <v>156FX1800X</v>
      </c>
      <c r="B759" t="str">
        <f>"63"</f>
        <v>63</v>
      </c>
      <c r="C759" t="str">
        <f>"963"</f>
        <v>963</v>
      </c>
      <c r="D759" t="s">
        <v>2417</v>
      </c>
      <c r="E759" t="s">
        <v>2417</v>
      </c>
      <c r="F759" t="s">
        <v>317</v>
      </c>
      <c r="G759" t="s">
        <v>2418</v>
      </c>
    </row>
    <row r="760" spans="1:7" x14ac:dyDescent="0.25">
      <c r="A760" t="str">
        <f t="shared" si="73"/>
        <v>253Z00000X</v>
      </c>
      <c r="B760" t="str">
        <f t="shared" ref="B760:B765" si="76">"65"</f>
        <v>65</v>
      </c>
      <c r="C760" t="str">
        <f>"114"</f>
        <v>114</v>
      </c>
      <c r="D760" t="s">
        <v>2419</v>
      </c>
      <c r="E760" t="s">
        <v>2420</v>
      </c>
      <c r="F760" t="s">
        <v>1357</v>
      </c>
      <c r="G760" t="s">
        <v>2421</v>
      </c>
    </row>
    <row r="761" spans="1:7" x14ac:dyDescent="0.25">
      <c r="A761" t="str">
        <f t="shared" si="73"/>
        <v>164W00000X</v>
      </c>
      <c r="B761" t="str">
        <f t="shared" si="76"/>
        <v>65</v>
      </c>
      <c r="C761" t="str">
        <f>"117"</f>
        <v>117</v>
      </c>
      <c r="D761" t="s">
        <v>2419</v>
      </c>
      <c r="E761" t="s">
        <v>2422</v>
      </c>
      <c r="F761" t="s">
        <v>433</v>
      </c>
      <c r="G761" t="s">
        <v>2423</v>
      </c>
    </row>
    <row r="762" spans="1:7" x14ac:dyDescent="0.25">
      <c r="A762" t="str">
        <f t="shared" si="73"/>
        <v>163WH0200X</v>
      </c>
      <c r="B762" t="str">
        <f t="shared" si="76"/>
        <v>65</v>
      </c>
      <c r="C762" t="str">
        <f>"118"</f>
        <v>118</v>
      </c>
      <c r="D762" t="s">
        <v>2419</v>
      </c>
      <c r="E762" t="s">
        <v>2424</v>
      </c>
      <c r="F762" t="s">
        <v>357</v>
      </c>
      <c r="G762" t="s">
        <v>2425</v>
      </c>
    </row>
    <row r="763" spans="1:7" x14ac:dyDescent="0.25">
      <c r="A763" t="str">
        <f t="shared" si="73"/>
        <v>251E00000X</v>
      </c>
      <c r="B763" t="str">
        <f t="shared" si="76"/>
        <v>65</v>
      </c>
      <c r="C763" t="str">
        <f>"965"</f>
        <v>965</v>
      </c>
      <c r="D763" t="s">
        <v>2419</v>
      </c>
      <c r="E763" t="s">
        <v>2426</v>
      </c>
      <c r="F763" t="s">
        <v>1335</v>
      </c>
      <c r="G763" t="s">
        <v>2427</v>
      </c>
    </row>
    <row r="764" spans="1:7" x14ac:dyDescent="0.25">
      <c r="A764" t="str">
        <f t="shared" si="73"/>
        <v>253Z00000X</v>
      </c>
      <c r="B764" t="str">
        <f t="shared" si="76"/>
        <v>65</v>
      </c>
      <c r="C764" t="str">
        <f>"965"</f>
        <v>965</v>
      </c>
      <c r="D764" t="s">
        <v>2419</v>
      </c>
      <c r="E764" t="s">
        <v>2426</v>
      </c>
      <c r="F764" t="s">
        <v>1357</v>
      </c>
      <c r="G764" t="s">
        <v>2421</v>
      </c>
    </row>
    <row r="765" spans="1:7" x14ac:dyDescent="0.25">
      <c r="A765" t="str">
        <f t="shared" si="73"/>
        <v>374U00000X</v>
      </c>
      <c r="B765" t="str">
        <f t="shared" si="76"/>
        <v>65</v>
      </c>
      <c r="C765" t="str">
        <f>"965"</f>
        <v>965</v>
      </c>
      <c r="D765" t="s">
        <v>2419</v>
      </c>
      <c r="E765" t="s">
        <v>2426</v>
      </c>
      <c r="F765" t="s">
        <v>1819</v>
      </c>
      <c r="G765" t="s">
        <v>2428</v>
      </c>
    </row>
    <row r="766" spans="1:7" x14ac:dyDescent="0.25">
      <c r="A766" t="str">
        <f t="shared" si="73"/>
        <v>261QR1300X</v>
      </c>
      <c r="B766" t="str">
        <f>"66"</f>
        <v>66</v>
      </c>
      <c r="C766" t="str">
        <f>"966"</f>
        <v>966</v>
      </c>
      <c r="D766" t="s">
        <v>2429</v>
      </c>
      <c r="E766" t="s">
        <v>2429</v>
      </c>
      <c r="F766" t="s">
        <v>1465</v>
      </c>
      <c r="G766" t="s">
        <v>2430</v>
      </c>
    </row>
    <row r="767" spans="1:7" x14ac:dyDescent="0.25">
      <c r="A767" t="str">
        <f t="shared" si="73"/>
        <v>310400000X</v>
      </c>
      <c r="B767" t="str">
        <f t="shared" ref="B767:B777" si="77">"67"</f>
        <v>67</v>
      </c>
      <c r="C767" t="str">
        <f>"089"</f>
        <v>089</v>
      </c>
      <c r="D767" t="s">
        <v>2431</v>
      </c>
      <c r="E767" t="s">
        <v>2432</v>
      </c>
      <c r="F767" t="s">
        <v>1547</v>
      </c>
      <c r="G767" t="s">
        <v>1906</v>
      </c>
    </row>
    <row r="768" spans="1:7" x14ac:dyDescent="0.25">
      <c r="A768" t="str">
        <f t="shared" si="73"/>
        <v>253Z00000X</v>
      </c>
      <c r="B768" t="str">
        <f t="shared" si="77"/>
        <v>67</v>
      </c>
      <c r="C768" t="str">
        <f>"095"</f>
        <v>095</v>
      </c>
      <c r="D768" t="s">
        <v>2431</v>
      </c>
      <c r="E768" t="s">
        <v>2433</v>
      </c>
      <c r="F768" t="s">
        <v>1357</v>
      </c>
      <c r="G768" t="s">
        <v>2421</v>
      </c>
    </row>
    <row r="769" spans="1:7" x14ac:dyDescent="0.25">
      <c r="A769" t="str">
        <f t="shared" si="73"/>
        <v>333300000X</v>
      </c>
      <c r="B769" t="str">
        <f t="shared" si="77"/>
        <v>67</v>
      </c>
      <c r="C769" t="str">
        <f>"095"</f>
        <v>095</v>
      </c>
      <c r="D769" t="s">
        <v>2431</v>
      </c>
      <c r="E769" t="s">
        <v>2433</v>
      </c>
      <c r="F769" t="s">
        <v>1619</v>
      </c>
      <c r="G769" t="s">
        <v>2434</v>
      </c>
    </row>
    <row r="770" spans="1:7" x14ac:dyDescent="0.25">
      <c r="A770" t="str">
        <f t="shared" si="73"/>
        <v>3747A0650X</v>
      </c>
      <c r="B770" t="str">
        <f t="shared" si="77"/>
        <v>67</v>
      </c>
      <c r="C770" t="str">
        <f>"095"</f>
        <v>095</v>
      </c>
      <c r="D770" t="s">
        <v>2431</v>
      </c>
      <c r="E770" t="s">
        <v>2433</v>
      </c>
      <c r="F770" t="s">
        <v>1809</v>
      </c>
      <c r="G770" t="s">
        <v>1917</v>
      </c>
    </row>
    <row r="771" spans="1:7" x14ac:dyDescent="0.25">
      <c r="A771" t="str">
        <f t="shared" ref="A771:A834" si="78">CLEAN(F771)</f>
        <v>251C00000X</v>
      </c>
      <c r="B771" t="str">
        <f t="shared" si="77"/>
        <v>67</v>
      </c>
      <c r="C771" t="str">
        <f>"096"</f>
        <v>096</v>
      </c>
      <c r="D771" t="s">
        <v>2431</v>
      </c>
      <c r="E771" t="s">
        <v>2435</v>
      </c>
      <c r="F771" t="s">
        <v>1333</v>
      </c>
      <c r="G771" t="s">
        <v>2436</v>
      </c>
    </row>
    <row r="772" spans="1:7" x14ac:dyDescent="0.25">
      <c r="A772" t="str">
        <f t="shared" si="78"/>
        <v>251J00000X</v>
      </c>
      <c r="B772" t="str">
        <f t="shared" si="77"/>
        <v>67</v>
      </c>
      <c r="C772" t="str">
        <f>"096"</f>
        <v>096</v>
      </c>
      <c r="D772" t="s">
        <v>2431</v>
      </c>
      <c r="E772" t="s">
        <v>2435</v>
      </c>
      <c r="F772" t="s">
        <v>1341</v>
      </c>
      <c r="G772" t="s">
        <v>2437</v>
      </c>
    </row>
    <row r="773" spans="1:7" x14ac:dyDescent="0.25">
      <c r="A773" t="str">
        <f t="shared" si="78"/>
        <v>261QD1600X</v>
      </c>
      <c r="B773" t="str">
        <f t="shared" si="77"/>
        <v>67</v>
      </c>
      <c r="C773" t="str">
        <f>"096"</f>
        <v>096</v>
      </c>
      <c r="D773" t="s">
        <v>2431</v>
      </c>
      <c r="E773" t="s">
        <v>2435</v>
      </c>
      <c r="F773" t="s">
        <v>1383</v>
      </c>
      <c r="G773" t="s">
        <v>2438</v>
      </c>
    </row>
    <row r="774" spans="1:7" x14ac:dyDescent="0.25">
      <c r="A774" t="str">
        <f t="shared" si="78"/>
        <v>320900000X</v>
      </c>
      <c r="B774" t="str">
        <f t="shared" si="77"/>
        <v>67</v>
      </c>
      <c r="C774" t="str">
        <f>"096"</f>
        <v>096</v>
      </c>
      <c r="D774" t="s">
        <v>2431</v>
      </c>
      <c r="E774" t="s">
        <v>2435</v>
      </c>
      <c r="F774" t="s">
        <v>1579</v>
      </c>
      <c r="G774" t="s">
        <v>2439</v>
      </c>
    </row>
    <row r="775" spans="1:7" x14ac:dyDescent="0.25">
      <c r="A775" t="str">
        <f t="shared" si="78"/>
        <v>261QA0600X</v>
      </c>
      <c r="B775" t="str">
        <f t="shared" si="77"/>
        <v>67</v>
      </c>
      <c r="C775" t="str">
        <f>"113"</f>
        <v>113</v>
      </c>
      <c r="D775" t="s">
        <v>2431</v>
      </c>
      <c r="E775" t="s">
        <v>2440</v>
      </c>
      <c r="F775" t="s">
        <v>1365</v>
      </c>
      <c r="G775" t="s">
        <v>2441</v>
      </c>
    </row>
    <row r="776" spans="1:7" x14ac:dyDescent="0.25">
      <c r="A776" t="str">
        <f t="shared" si="78"/>
        <v>385H00000X</v>
      </c>
      <c r="B776" t="str">
        <f t="shared" si="77"/>
        <v>67</v>
      </c>
      <c r="C776" t="str">
        <f>"113"</f>
        <v>113</v>
      </c>
      <c r="D776" t="s">
        <v>2431</v>
      </c>
      <c r="E776" t="s">
        <v>2440</v>
      </c>
      <c r="F776" t="s">
        <v>1827</v>
      </c>
      <c r="G776" t="s">
        <v>2442</v>
      </c>
    </row>
    <row r="777" spans="1:7" x14ac:dyDescent="0.25">
      <c r="A777" t="str">
        <f t="shared" si="78"/>
        <v>251J00000X</v>
      </c>
      <c r="B777" t="str">
        <f t="shared" si="77"/>
        <v>67</v>
      </c>
      <c r="C777" t="str">
        <f>"967"</f>
        <v>967</v>
      </c>
      <c r="D777" t="s">
        <v>2431</v>
      </c>
      <c r="E777" t="s">
        <v>2443</v>
      </c>
      <c r="F777" t="s">
        <v>1341</v>
      </c>
      <c r="G777" t="s">
        <v>2437</v>
      </c>
    </row>
    <row r="778" spans="1:7" x14ac:dyDescent="0.25">
      <c r="A778" t="str">
        <f t="shared" si="78"/>
        <v>261QF0400X</v>
      </c>
      <c r="B778" t="str">
        <f>"68"</f>
        <v>68</v>
      </c>
      <c r="C778" t="str">
        <f>"968"</f>
        <v>968</v>
      </c>
      <c r="D778" t="s">
        <v>2444</v>
      </c>
      <c r="E778" t="s">
        <v>2444</v>
      </c>
      <c r="F778" t="s">
        <v>1393</v>
      </c>
      <c r="G778" t="s">
        <v>2445</v>
      </c>
    </row>
    <row r="779" spans="1:7" x14ac:dyDescent="0.25">
      <c r="A779" t="str">
        <f t="shared" si="78"/>
        <v>261QB0400X</v>
      </c>
      <c r="B779" t="str">
        <f>"69"</f>
        <v>69</v>
      </c>
      <c r="C779" t="str">
        <f>"969"</f>
        <v>969</v>
      </c>
      <c r="D779" t="s">
        <v>2446</v>
      </c>
      <c r="E779" t="s">
        <v>2446</v>
      </c>
      <c r="F779" t="s">
        <v>1373</v>
      </c>
      <c r="G779" t="s">
        <v>2447</v>
      </c>
    </row>
    <row r="780" spans="1:7" x14ac:dyDescent="0.25">
      <c r="A780" t="str">
        <f t="shared" si="78"/>
        <v>343900000X</v>
      </c>
      <c r="B780" t="str">
        <f t="shared" ref="B780:B789" si="79">"70"</f>
        <v>70</v>
      </c>
      <c r="C780" t="str">
        <f>"600"</f>
        <v>600</v>
      </c>
      <c r="D780" t="s">
        <v>2448</v>
      </c>
      <c r="E780" t="s">
        <v>2449</v>
      </c>
      <c r="F780" t="s">
        <v>1671</v>
      </c>
      <c r="G780" t="s">
        <v>2380</v>
      </c>
    </row>
    <row r="781" spans="1:7" x14ac:dyDescent="0.25">
      <c r="A781" t="str">
        <f t="shared" si="78"/>
        <v>302R00000X</v>
      </c>
      <c r="B781" t="str">
        <f t="shared" si="79"/>
        <v>70</v>
      </c>
      <c r="C781" t="str">
        <f>"601"</f>
        <v>601</v>
      </c>
      <c r="D781" t="s">
        <v>2448</v>
      </c>
      <c r="E781" t="s">
        <v>2450</v>
      </c>
      <c r="F781" t="s">
        <v>1541</v>
      </c>
      <c r="G781" t="s">
        <v>2451</v>
      </c>
    </row>
    <row r="782" spans="1:7" x14ac:dyDescent="0.25">
      <c r="A782" t="str">
        <f t="shared" si="78"/>
        <v>302R00000X</v>
      </c>
      <c r="B782" t="str">
        <f t="shared" si="79"/>
        <v>70</v>
      </c>
      <c r="C782" t="str">
        <f>"670"</f>
        <v>670</v>
      </c>
      <c r="D782" t="s">
        <v>2448</v>
      </c>
      <c r="E782" t="s">
        <v>2452</v>
      </c>
      <c r="F782" t="s">
        <v>1541</v>
      </c>
      <c r="G782" t="s">
        <v>2451</v>
      </c>
    </row>
    <row r="783" spans="1:7" x14ac:dyDescent="0.25">
      <c r="A783" t="str">
        <f t="shared" si="78"/>
        <v>302R00000X</v>
      </c>
      <c r="B783" t="str">
        <f t="shared" si="79"/>
        <v>70</v>
      </c>
      <c r="C783" t="str">
        <f>"672"</f>
        <v>672</v>
      </c>
      <c r="D783" t="s">
        <v>2448</v>
      </c>
      <c r="E783" t="s">
        <v>2453</v>
      </c>
      <c r="F783" t="s">
        <v>1541</v>
      </c>
      <c r="G783" t="s">
        <v>2451</v>
      </c>
    </row>
    <row r="784" spans="1:7" x14ac:dyDescent="0.25">
      <c r="A784" t="str">
        <f t="shared" si="78"/>
        <v>302R00000X</v>
      </c>
      <c r="B784" t="str">
        <f t="shared" si="79"/>
        <v>70</v>
      </c>
      <c r="C784" t="str">
        <f>"673"</f>
        <v>673</v>
      </c>
      <c r="D784" t="s">
        <v>2448</v>
      </c>
      <c r="E784" t="s">
        <v>2454</v>
      </c>
      <c r="F784" t="s">
        <v>1541</v>
      </c>
      <c r="G784" t="s">
        <v>2451</v>
      </c>
    </row>
    <row r="785" spans="1:7" x14ac:dyDescent="0.25">
      <c r="A785" t="str">
        <f t="shared" si="78"/>
        <v>302R00000X</v>
      </c>
      <c r="B785" t="str">
        <f t="shared" si="79"/>
        <v>70</v>
      </c>
      <c r="C785" t="str">
        <f>"674"</f>
        <v>674</v>
      </c>
      <c r="D785" t="s">
        <v>2448</v>
      </c>
      <c r="E785" t="s">
        <v>2455</v>
      </c>
      <c r="F785" t="s">
        <v>1541</v>
      </c>
      <c r="G785" t="s">
        <v>2451</v>
      </c>
    </row>
    <row r="786" spans="1:7" x14ac:dyDescent="0.25">
      <c r="A786" t="str">
        <f t="shared" si="78"/>
        <v>302R00000X</v>
      </c>
      <c r="B786" t="str">
        <f t="shared" si="79"/>
        <v>70</v>
      </c>
      <c r="C786" t="str">
        <f>"675"</f>
        <v>675</v>
      </c>
      <c r="D786" t="s">
        <v>2448</v>
      </c>
      <c r="E786" t="s">
        <v>2456</v>
      </c>
      <c r="F786" t="s">
        <v>1541</v>
      </c>
      <c r="G786" t="s">
        <v>2451</v>
      </c>
    </row>
    <row r="787" spans="1:7" x14ac:dyDescent="0.25">
      <c r="A787" t="str">
        <f t="shared" si="78"/>
        <v>302F00000X</v>
      </c>
      <c r="B787" t="str">
        <f t="shared" si="79"/>
        <v>70</v>
      </c>
      <c r="C787" t="str">
        <f>"970"</f>
        <v>970</v>
      </c>
      <c r="D787" t="s">
        <v>2448</v>
      </c>
      <c r="E787" t="s">
        <v>2457</v>
      </c>
      <c r="F787" t="s">
        <v>1539</v>
      </c>
      <c r="G787" t="s">
        <v>2416</v>
      </c>
    </row>
    <row r="788" spans="1:7" x14ac:dyDescent="0.25">
      <c r="A788" t="str">
        <f t="shared" si="78"/>
        <v>302R00000X</v>
      </c>
      <c r="B788" t="str">
        <f t="shared" si="79"/>
        <v>70</v>
      </c>
      <c r="C788" t="str">
        <f>"970"</f>
        <v>970</v>
      </c>
      <c r="D788" t="s">
        <v>2448</v>
      </c>
      <c r="E788" t="s">
        <v>2457</v>
      </c>
      <c r="F788" t="s">
        <v>1541</v>
      </c>
      <c r="G788" t="s">
        <v>2451</v>
      </c>
    </row>
    <row r="789" spans="1:7" x14ac:dyDescent="0.25">
      <c r="A789" t="str">
        <f t="shared" si="78"/>
        <v>305R00000X</v>
      </c>
      <c r="B789" t="str">
        <f t="shared" si="79"/>
        <v>70</v>
      </c>
      <c r="C789" t="str">
        <f>"970"</f>
        <v>970</v>
      </c>
      <c r="D789" t="s">
        <v>2448</v>
      </c>
      <c r="E789" t="s">
        <v>2457</v>
      </c>
      <c r="F789" t="s">
        <v>1543</v>
      </c>
      <c r="G789" t="s">
        <v>2458</v>
      </c>
    </row>
    <row r="790" spans="1:7" x14ac:dyDescent="0.25">
      <c r="A790" t="str">
        <f t="shared" si="78"/>
        <v>251K00000X</v>
      </c>
      <c r="B790" t="str">
        <f>"77"</f>
        <v>77</v>
      </c>
      <c r="C790" t="str">
        <f>"977"</f>
        <v>977</v>
      </c>
      <c r="D790" t="s">
        <v>2459</v>
      </c>
      <c r="E790" t="s">
        <v>2459</v>
      </c>
      <c r="F790" t="s">
        <v>1343</v>
      </c>
      <c r="G790" t="s">
        <v>2460</v>
      </c>
    </row>
    <row r="791" spans="1:7" x14ac:dyDescent="0.25">
      <c r="A791" t="str">
        <f t="shared" si="78"/>
        <v>261QP0905X</v>
      </c>
      <c r="B791" t="str">
        <f>"77"</f>
        <v>77</v>
      </c>
      <c r="C791" t="str">
        <f>"977"</f>
        <v>977</v>
      </c>
      <c r="D791" t="s">
        <v>2459</v>
      </c>
      <c r="E791" t="s">
        <v>2459</v>
      </c>
      <c r="F791" t="s">
        <v>1433</v>
      </c>
      <c r="G791" t="s">
        <v>2461</v>
      </c>
    </row>
    <row r="792" spans="1:7" x14ac:dyDescent="0.25">
      <c r="A792" t="str">
        <f t="shared" si="78"/>
        <v>261Q00000X</v>
      </c>
      <c r="B792" t="str">
        <f>"78"</f>
        <v>78</v>
      </c>
      <c r="C792" t="str">
        <f>"978"</f>
        <v>978</v>
      </c>
      <c r="D792" t="s">
        <v>2462</v>
      </c>
      <c r="E792" t="s">
        <v>2462</v>
      </c>
      <c r="F792" t="s">
        <v>1359</v>
      </c>
      <c r="G792" t="s">
        <v>1874</v>
      </c>
    </row>
    <row r="793" spans="1:7" x14ac:dyDescent="0.25">
      <c r="A793" t="str">
        <f t="shared" si="78"/>
        <v>222Q00000X</v>
      </c>
      <c r="B793" t="str">
        <f>"81"</f>
        <v>81</v>
      </c>
      <c r="C793" t="str">
        <f>"981"</f>
        <v>981</v>
      </c>
      <c r="D793" t="s">
        <v>2463</v>
      </c>
      <c r="E793" t="s">
        <v>2463</v>
      </c>
      <c r="F793" t="s">
        <v>1017</v>
      </c>
      <c r="G793" t="s">
        <v>2464</v>
      </c>
    </row>
    <row r="794" spans="1:7" x14ac:dyDescent="0.25">
      <c r="A794" t="str">
        <f t="shared" si="78"/>
        <v>252Y00000X</v>
      </c>
      <c r="B794" t="str">
        <f>"81"</f>
        <v>81</v>
      </c>
      <c r="C794" t="str">
        <f>"981"</f>
        <v>981</v>
      </c>
      <c r="D794" t="s">
        <v>2463</v>
      </c>
      <c r="E794" t="s">
        <v>2463</v>
      </c>
      <c r="F794" t="s">
        <v>1353</v>
      </c>
      <c r="G794" t="s">
        <v>2465</v>
      </c>
    </row>
    <row r="795" spans="1:7" x14ac:dyDescent="0.25">
      <c r="A795" t="str">
        <f t="shared" si="78"/>
        <v>225X00000X</v>
      </c>
      <c r="B795" t="str">
        <f t="shared" ref="B795:B847" si="80">"83"</f>
        <v>83</v>
      </c>
      <c r="C795" t="str">
        <f t="shared" ref="C795:C807" si="81">"090"</f>
        <v>090</v>
      </c>
      <c r="D795" t="s">
        <v>2466</v>
      </c>
      <c r="E795" t="s">
        <v>2467</v>
      </c>
      <c r="F795" t="s">
        <v>1091</v>
      </c>
      <c r="G795" t="s">
        <v>2467</v>
      </c>
    </row>
    <row r="796" spans="1:7" x14ac:dyDescent="0.25">
      <c r="A796" t="str">
        <f t="shared" si="78"/>
        <v>225XE0001X</v>
      </c>
      <c r="B796" t="str">
        <f t="shared" si="80"/>
        <v>83</v>
      </c>
      <c r="C796" t="str">
        <f t="shared" si="81"/>
        <v>090</v>
      </c>
      <c r="D796" t="s">
        <v>2466</v>
      </c>
      <c r="E796" t="s">
        <v>2467</v>
      </c>
      <c r="F796" t="s">
        <v>1093</v>
      </c>
      <c r="G796" t="s">
        <v>2468</v>
      </c>
    </row>
    <row r="797" spans="1:7" x14ac:dyDescent="0.25">
      <c r="A797" t="str">
        <f t="shared" si="78"/>
        <v>225XE1200X</v>
      </c>
      <c r="B797" t="str">
        <f t="shared" si="80"/>
        <v>83</v>
      </c>
      <c r="C797" t="str">
        <f t="shared" si="81"/>
        <v>090</v>
      </c>
      <c r="D797" t="s">
        <v>2466</v>
      </c>
      <c r="E797" t="s">
        <v>2467</v>
      </c>
      <c r="F797" t="s">
        <v>1095</v>
      </c>
      <c r="G797" t="s">
        <v>2469</v>
      </c>
    </row>
    <row r="798" spans="1:7" x14ac:dyDescent="0.25">
      <c r="A798" t="str">
        <f t="shared" si="78"/>
        <v>225XF0002X</v>
      </c>
      <c r="B798" t="str">
        <f t="shared" si="80"/>
        <v>83</v>
      </c>
      <c r="C798" t="str">
        <f t="shared" si="81"/>
        <v>090</v>
      </c>
      <c r="D798" t="s">
        <v>2466</v>
      </c>
      <c r="E798" t="s">
        <v>2467</v>
      </c>
      <c r="F798" t="s">
        <v>1097</v>
      </c>
      <c r="G798" t="s">
        <v>2470</v>
      </c>
    </row>
    <row r="799" spans="1:7" x14ac:dyDescent="0.25">
      <c r="A799" t="str">
        <f t="shared" si="78"/>
        <v>225XG0600X</v>
      </c>
      <c r="B799" t="str">
        <f t="shared" si="80"/>
        <v>83</v>
      </c>
      <c r="C799" t="str">
        <f t="shared" si="81"/>
        <v>090</v>
      </c>
      <c r="D799" t="s">
        <v>2466</v>
      </c>
      <c r="E799" t="s">
        <v>2467</v>
      </c>
      <c r="F799" t="s">
        <v>1099</v>
      </c>
      <c r="G799" t="s">
        <v>2471</v>
      </c>
    </row>
    <row r="800" spans="1:7" x14ac:dyDescent="0.25">
      <c r="A800" t="str">
        <f t="shared" si="78"/>
        <v>225XH1200X</v>
      </c>
      <c r="B800" t="str">
        <f t="shared" si="80"/>
        <v>83</v>
      </c>
      <c r="C800" t="str">
        <f t="shared" si="81"/>
        <v>090</v>
      </c>
      <c r="D800" t="s">
        <v>2466</v>
      </c>
      <c r="E800" t="s">
        <v>2467</v>
      </c>
      <c r="F800" t="s">
        <v>1101</v>
      </c>
      <c r="G800" t="s">
        <v>2472</v>
      </c>
    </row>
    <row r="801" spans="1:7" x14ac:dyDescent="0.25">
      <c r="A801" t="str">
        <f t="shared" si="78"/>
        <v>225XH1300X</v>
      </c>
      <c r="B801" t="str">
        <f t="shared" si="80"/>
        <v>83</v>
      </c>
      <c r="C801" t="str">
        <f t="shared" si="81"/>
        <v>090</v>
      </c>
      <c r="D801" t="s">
        <v>2466</v>
      </c>
      <c r="E801" t="s">
        <v>2467</v>
      </c>
      <c r="F801" t="s">
        <v>1103</v>
      </c>
      <c r="G801" t="s">
        <v>2473</v>
      </c>
    </row>
    <row r="802" spans="1:7" x14ac:dyDescent="0.25">
      <c r="A802" t="str">
        <f t="shared" si="78"/>
        <v>225XL0004X</v>
      </c>
      <c r="B802" t="str">
        <f t="shared" si="80"/>
        <v>83</v>
      </c>
      <c r="C802" t="str">
        <f t="shared" si="81"/>
        <v>090</v>
      </c>
      <c r="D802" t="s">
        <v>2466</v>
      </c>
      <c r="E802" t="s">
        <v>2467</v>
      </c>
      <c r="F802" t="s">
        <v>1105</v>
      </c>
      <c r="G802" t="s">
        <v>2474</v>
      </c>
    </row>
    <row r="803" spans="1:7" x14ac:dyDescent="0.25">
      <c r="A803" t="str">
        <f t="shared" si="78"/>
        <v>225XM0800X</v>
      </c>
      <c r="B803" t="str">
        <f t="shared" si="80"/>
        <v>83</v>
      </c>
      <c r="C803" t="str">
        <f t="shared" si="81"/>
        <v>090</v>
      </c>
      <c r="D803" t="s">
        <v>2466</v>
      </c>
      <c r="E803" t="s">
        <v>2467</v>
      </c>
      <c r="F803" t="s">
        <v>1107</v>
      </c>
      <c r="G803" t="s">
        <v>2475</v>
      </c>
    </row>
    <row r="804" spans="1:7" x14ac:dyDescent="0.25">
      <c r="A804" t="str">
        <f t="shared" si="78"/>
        <v>225XN1300X</v>
      </c>
      <c r="B804" t="str">
        <f t="shared" si="80"/>
        <v>83</v>
      </c>
      <c r="C804" t="str">
        <f t="shared" si="81"/>
        <v>090</v>
      </c>
      <c r="D804" t="s">
        <v>2466</v>
      </c>
      <c r="E804" t="s">
        <v>2467</v>
      </c>
      <c r="F804" t="s">
        <v>1109</v>
      </c>
      <c r="G804" t="s">
        <v>2476</v>
      </c>
    </row>
    <row r="805" spans="1:7" x14ac:dyDescent="0.25">
      <c r="A805" t="str">
        <f t="shared" si="78"/>
        <v>225XP0019X</v>
      </c>
      <c r="B805" t="str">
        <f t="shared" si="80"/>
        <v>83</v>
      </c>
      <c r="C805" t="str">
        <f t="shared" si="81"/>
        <v>090</v>
      </c>
      <c r="D805" t="s">
        <v>2466</v>
      </c>
      <c r="E805" t="s">
        <v>2467</v>
      </c>
      <c r="F805" t="s">
        <v>1111</v>
      </c>
      <c r="G805" t="s">
        <v>2477</v>
      </c>
    </row>
    <row r="806" spans="1:7" x14ac:dyDescent="0.25">
      <c r="A806" t="str">
        <f t="shared" si="78"/>
        <v>225XP0200X</v>
      </c>
      <c r="B806" t="str">
        <f t="shared" si="80"/>
        <v>83</v>
      </c>
      <c r="C806" t="str">
        <f t="shared" si="81"/>
        <v>090</v>
      </c>
      <c r="D806" t="s">
        <v>2466</v>
      </c>
      <c r="E806" t="s">
        <v>2467</v>
      </c>
      <c r="F806" t="s">
        <v>1113</v>
      </c>
      <c r="G806" t="s">
        <v>2478</v>
      </c>
    </row>
    <row r="807" spans="1:7" x14ac:dyDescent="0.25">
      <c r="A807" t="str">
        <f t="shared" si="78"/>
        <v>225XR0403X</v>
      </c>
      <c r="B807" t="str">
        <f t="shared" si="80"/>
        <v>83</v>
      </c>
      <c r="C807" t="str">
        <f t="shared" si="81"/>
        <v>090</v>
      </c>
      <c r="D807" t="s">
        <v>2466</v>
      </c>
      <c r="E807" t="s">
        <v>2467</v>
      </c>
      <c r="F807" t="s">
        <v>1115</v>
      </c>
      <c r="G807" t="s">
        <v>2479</v>
      </c>
    </row>
    <row r="808" spans="1:7" x14ac:dyDescent="0.25">
      <c r="A808" t="str">
        <f t="shared" si="78"/>
        <v>225100000X</v>
      </c>
      <c r="B808" t="str">
        <f t="shared" si="80"/>
        <v>83</v>
      </c>
      <c r="C808" t="str">
        <f t="shared" ref="C808:C818" si="82">"091"</f>
        <v>091</v>
      </c>
      <c r="D808" t="s">
        <v>2466</v>
      </c>
      <c r="E808" t="s">
        <v>2480</v>
      </c>
      <c r="F808" t="s">
        <v>1041</v>
      </c>
      <c r="G808" t="s">
        <v>2480</v>
      </c>
    </row>
    <row r="809" spans="1:7" x14ac:dyDescent="0.25">
      <c r="A809" t="str">
        <f t="shared" si="78"/>
        <v>2251C2600X</v>
      </c>
      <c r="B809" t="str">
        <f t="shared" si="80"/>
        <v>83</v>
      </c>
      <c r="C809" t="str">
        <f t="shared" si="82"/>
        <v>091</v>
      </c>
      <c r="D809" t="s">
        <v>2466</v>
      </c>
      <c r="E809" t="s">
        <v>2480</v>
      </c>
      <c r="F809" t="s">
        <v>1043</v>
      </c>
      <c r="G809" t="s">
        <v>2481</v>
      </c>
    </row>
    <row r="810" spans="1:7" x14ac:dyDescent="0.25">
      <c r="A810" t="str">
        <f t="shared" si="78"/>
        <v>2251E1200X</v>
      </c>
      <c r="B810" t="str">
        <f t="shared" si="80"/>
        <v>83</v>
      </c>
      <c r="C810" t="str">
        <f t="shared" si="82"/>
        <v>091</v>
      </c>
      <c r="D810" t="s">
        <v>2466</v>
      </c>
      <c r="E810" t="s">
        <v>2480</v>
      </c>
      <c r="F810" s="36" t="s">
        <v>1045</v>
      </c>
      <c r="G810" t="s">
        <v>2482</v>
      </c>
    </row>
    <row r="811" spans="1:7" x14ac:dyDescent="0.25">
      <c r="A811" t="str">
        <f t="shared" si="78"/>
        <v>2251E1300X</v>
      </c>
      <c r="B811" t="str">
        <f t="shared" si="80"/>
        <v>83</v>
      </c>
      <c r="C811" t="str">
        <f t="shared" si="82"/>
        <v>091</v>
      </c>
      <c r="D811" t="s">
        <v>2466</v>
      </c>
      <c r="E811" t="s">
        <v>2480</v>
      </c>
      <c r="F811" s="36" t="s">
        <v>1047</v>
      </c>
      <c r="G811" t="s">
        <v>2483</v>
      </c>
    </row>
    <row r="812" spans="1:7" x14ac:dyDescent="0.25">
      <c r="A812" t="str">
        <f t="shared" si="78"/>
        <v>2251G0304X</v>
      </c>
      <c r="B812" t="str">
        <f t="shared" si="80"/>
        <v>83</v>
      </c>
      <c r="C812" t="str">
        <f t="shared" si="82"/>
        <v>091</v>
      </c>
      <c r="D812" t="s">
        <v>2466</v>
      </c>
      <c r="E812" t="s">
        <v>2480</v>
      </c>
      <c r="F812" t="s">
        <v>1049</v>
      </c>
      <c r="G812" t="s">
        <v>2484</v>
      </c>
    </row>
    <row r="813" spans="1:7" x14ac:dyDescent="0.25">
      <c r="A813" t="str">
        <f t="shared" si="78"/>
        <v>2251H1200X</v>
      </c>
      <c r="B813" t="str">
        <f t="shared" si="80"/>
        <v>83</v>
      </c>
      <c r="C813" t="str">
        <f t="shared" si="82"/>
        <v>091</v>
      </c>
      <c r="D813" t="s">
        <v>2466</v>
      </c>
      <c r="E813" t="s">
        <v>2480</v>
      </c>
      <c r="F813" t="s">
        <v>1051</v>
      </c>
      <c r="G813" t="s">
        <v>2485</v>
      </c>
    </row>
    <row r="814" spans="1:7" x14ac:dyDescent="0.25">
      <c r="A814" t="str">
        <f t="shared" si="78"/>
        <v>2251H1300X</v>
      </c>
      <c r="B814" t="str">
        <f t="shared" si="80"/>
        <v>83</v>
      </c>
      <c r="C814" t="str">
        <f t="shared" si="82"/>
        <v>091</v>
      </c>
      <c r="D814" t="s">
        <v>2466</v>
      </c>
      <c r="E814" t="s">
        <v>2480</v>
      </c>
      <c r="F814" t="s">
        <v>1053</v>
      </c>
      <c r="G814" t="s">
        <v>2486</v>
      </c>
    </row>
    <row r="815" spans="1:7" x14ac:dyDescent="0.25">
      <c r="A815" t="str">
        <f t="shared" si="78"/>
        <v>2251N0400X</v>
      </c>
      <c r="B815" t="str">
        <f t="shared" si="80"/>
        <v>83</v>
      </c>
      <c r="C815" t="str">
        <f t="shared" si="82"/>
        <v>091</v>
      </c>
      <c r="D815" t="s">
        <v>2466</v>
      </c>
      <c r="E815" t="s">
        <v>2480</v>
      </c>
      <c r="F815" t="s">
        <v>1055</v>
      </c>
      <c r="G815" t="s">
        <v>2487</v>
      </c>
    </row>
    <row r="816" spans="1:7" x14ac:dyDescent="0.25">
      <c r="A816" t="str">
        <f t="shared" si="78"/>
        <v>2251P0200X</v>
      </c>
      <c r="B816" t="str">
        <f t="shared" si="80"/>
        <v>83</v>
      </c>
      <c r="C816" t="str">
        <f t="shared" si="82"/>
        <v>091</v>
      </c>
      <c r="D816" t="s">
        <v>2466</v>
      </c>
      <c r="E816" t="s">
        <v>2480</v>
      </c>
      <c r="F816" t="s">
        <v>1057</v>
      </c>
      <c r="G816" t="s">
        <v>2488</v>
      </c>
    </row>
    <row r="817" spans="1:7" x14ac:dyDescent="0.25">
      <c r="A817" t="str">
        <f t="shared" si="78"/>
        <v>2251S0007X</v>
      </c>
      <c r="B817" t="str">
        <f t="shared" si="80"/>
        <v>83</v>
      </c>
      <c r="C817" t="str">
        <f t="shared" si="82"/>
        <v>091</v>
      </c>
      <c r="D817" t="s">
        <v>2466</v>
      </c>
      <c r="E817" t="s">
        <v>2480</v>
      </c>
      <c r="F817" t="s">
        <v>1059</v>
      </c>
      <c r="G817" t="s">
        <v>2489</v>
      </c>
    </row>
    <row r="818" spans="1:7" x14ac:dyDescent="0.25">
      <c r="A818" t="str">
        <f t="shared" si="78"/>
        <v>2251X0800X</v>
      </c>
      <c r="B818" t="str">
        <f t="shared" si="80"/>
        <v>83</v>
      </c>
      <c r="C818" t="str">
        <f t="shared" si="82"/>
        <v>091</v>
      </c>
      <c r="D818" t="s">
        <v>2466</v>
      </c>
      <c r="E818" t="s">
        <v>2480</v>
      </c>
      <c r="F818" t="s">
        <v>1061</v>
      </c>
      <c r="G818" t="s">
        <v>2490</v>
      </c>
    </row>
    <row r="819" spans="1:7" x14ac:dyDescent="0.25">
      <c r="A819" t="str">
        <f t="shared" si="78"/>
        <v>235Z00000X</v>
      </c>
      <c r="B819" t="str">
        <f t="shared" si="80"/>
        <v>83</v>
      </c>
      <c r="C819" t="str">
        <f>"092"</f>
        <v>092</v>
      </c>
      <c r="D819" t="s">
        <v>2466</v>
      </c>
      <c r="E819" t="s">
        <v>2491</v>
      </c>
      <c r="F819" t="s">
        <v>1191</v>
      </c>
      <c r="G819" t="s">
        <v>2492</v>
      </c>
    </row>
    <row r="820" spans="1:7" x14ac:dyDescent="0.25">
      <c r="A820" t="str">
        <f t="shared" si="78"/>
        <v>227800000X</v>
      </c>
      <c r="B820" t="str">
        <f t="shared" si="80"/>
        <v>83</v>
      </c>
      <c r="C820" t="str">
        <f t="shared" ref="C820:C846" si="83">"093"</f>
        <v>093</v>
      </c>
      <c r="D820" t="s">
        <v>2466</v>
      </c>
      <c r="E820" t="s">
        <v>2493</v>
      </c>
      <c r="F820" t="s">
        <v>1121</v>
      </c>
      <c r="G820" t="s">
        <v>2494</v>
      </c>
    </row>
    <row r="821" spans="1:7" x14ac:dyDescent="0.25">
      <c r="A821" t="str">
        <f t="shared" si="78"/>
        <v>2278C0205X</v>
      </c>
      <c r="B821" t="str">
        <f t="shared" si="80"/>
        <v>83</v>
      </c>
      <c r="C821" t="str">
        <f t="shared" si="83"/>
        <v>093</v>
      </c>
      <c r="D821" t="s">
        <v>2466</v>
      </c>
      <c r="E821" t="s">
        <v>2493</v>
      </c>
      <c r="F821" t="s">
        <v>1123</v>
      </c>
      <c r="G821" t="s">
        <v>2495</v>
      </c>
    </row>
    <row r="822" spans="1:7" x14ac:dyDescent="0.25">
      <c r="A822" t="str">
        <f t="shared" si="78"/>
        <v>2278E0002X</v>
      </c>
      <c r="B822" t="str">
        <f t="shared" si="80"/>
        <v>83</v>
      </c>
      <c r="C822" t="str">
        <f t="shared" si="83"/>
        <v>093</v>
      </c>
      <c r="D822" t="s">
        <v>2466</v>
      </c>
      <c r="E822" t="s">
        <v>2493</v>
      </c>
      <c r="F822" t="s">
        <v>1125</v>
      </c>
      <c r="G822" t="s">
        <v>2496</v>
      </c>
    </row>
    <row r="823" spans="1:7" x14ac:dyDescent="0.25">
      <c r="A823" t="str">
        <f t="shared" si="78"/>
        <v>2278E1000X</v>
      </c>
      <c r="B823" t="str">
        <f t="shared" si="80"/>
        <v>83</v>
      </c>
      <c r="C823" t="str">
        <f t="shared" si="83"/>
        <v>093</v>
      </c>
      <c r="D823" t="s">
        <v>2466</v>
      </c>
      <c r="E823" t="s">
        <v>2493</v>
      </c>
      <c r="F823" s="36" t="s">
        <v>1127</v>
      </c>
      <c r="G823" t="s">
        <v>2497</v>
      </c>
    </row>
    <row r="824" spans="1:7" x14ac:dyDescent="0.25">
      <c r="A824" t="str">
        <f t="shared" si="78"/>
        <v>2278G0305X</v>
      </c>
      <c r="B824" t="str">
        <f t="shared" si="80"/>
        <v>83</v>
      </c>
      <c r="C824" t="str">
        <f t="shared" si="83"/>
        <v>093</v>
      </c>
      <c r="D824" t="s">
        <v>2466</v>
      </c>
      <c r="E824" t="s">
        <v>2493</v>
      </c>
      <c r="F824" t="s">
        <v>1129</v>
      </c>
      <c r="G824" t="s">
        <v>2498</v>
      </c>
    </row>
    <row r="825" spans="1:7" x14ac:dyDescent="0.25">
      <c r="A825" t="str">
        <f t="shared" si="78"/>
        <v>2278G1100X</v>
      </c>
      <c r="B825" t="str">
        <f t="shared" si="80"/>
        <v>83</v>
      </c>
      <c r="C825" t="str">
        <f t="shared" si="83"/>
        <v>093</v>
      </c>
      <c r="D825" t="s">
        <v>2466</v>
      </c>
      <c r="E825" t="s">
        <v>2493</v>
      </c>
      <c r="F825" t="s">
        <v>1131</v>
      </c>
      <c r="G825" t="s">
        <v>2499</v>
      </c>
    </row>
    <row r="826" spans="1:7" x14ac:dyDescent="0.25">
      <c r="A826" t="str">
        <f t="shared" si="78"/>
        <v>2278P1004X</v>
      </c>
      <c r="B826" t="str">
        <f t="shared" si="80"/>
        <v>83</v>
      </c>
      <c r="C826" t="str">
        <f t="shared" si="83"/>
        <v>093</v>
      </c>
      <c r="D826" t="s">
        <v>2466</v>
      </c>
      <c r="E826" t="s">
        <v>2493</v>
      </c>
      <c r="F826" t="s">
        <v>1135</v>
      </c>
      <c r="G826" t="s">
        <v>2500</v>
      </c>
    </row>
    <row r="827" spans="1:7" x14ac:dyDescent="0.25">
      <c r="A827" t="str">
        <f t="shared" si="78"/>
        <v>2278P1005X</v>
      </c>
      <c r="B827" t="str">
        <f t="shared" si="80"/>
        <v>83</v>
      </c>
      <c r="C827" t="str">
        <f t="shared" si="83"/>
        <v>093</v>
      </c>
      <c r="D827" t="s">
        <v>2466</v>
      </c>
      <c r="E827" t="s">
        <v>2493</v>
      </c>
      <c r="F827" t="s">
        <v>1137</v>
      </c>
      <c r="G827" t="s">
        <v>2501</v>
      </c>
    </row>
    <row r="828" spans="1:7" x14ac:dyDescent="0.25">
      <c r="A828" t="str">
        <f t="shared" si="78"/>
        <v>2278P1006X</v>
      </c>
      <c r="B828" t="str">
        <f t="shared" si="80"/>
        <v>83</v>
      </c>
      <c r="C828" t="str">
        <f t="shared" si="83"/>
        <v>093</v>
      </c>
      <c r="D828" t="s">
        <v>2466</v>
      </c>
      <c r="E828" t="s">
        <v>2493</v>
      </c>
      <c r="F828" t="s">
        <v>1139</v>
      </c>
      <c r="G828" t="s">
        <v>2502</v>
      </c>
    </row>
    <row r="829" spans="1:7" x14ac:dyDescent="0.25">
      <c r="A829" t="str">
        <f t="shared" si="78"/>
        <v>2278P3800X</v>
      </c>
      <c r="B829" t="str">
        <f t="shared" si="80"/>
        <v>83</v>
      </c>
      <c r="C829" t="str">
        <f t="shared" si="83"/>
        <v>093</v>
      </c>
      <c r="D829" t="s">
        <v>2466</v>
      </c>
      <c r="E829" t="s">
        <v>2493</v>
      </c>
      <c r="F829" t="s">
        <v>1141</v>
      </c>
      <c r="G829" t="s">
        <v>2503</v>
      </c>
    </row>
    <row r="830" spans="1:7" x14ac:dyDescent="0.25">
      <c r="A830" t="str">
        <f t="shared" si="78"/>
        <v>2278P3900X</v>
      </c>
      <c r="B830" t="str">
        <f t="shared" si="80"/>
        <v>83</v>
      </c>
      <c r="C830" t="str">
        <f t="shared" si="83"/>
        <v>093</v>
      </c>
      <c r="D830" t="s">
        <v>2466</v>
      </c>
      <c r="E830" t="s">
        <v>2493</v>
      </c>
      <c r="F830" t="s">
        <v>1143</v>
      </c>
      <c r="G830" t="s">
        <v>2504</v>
      </c>
    </row>
    <row r="831" spans="1:7" x14ac:dyDescent="0.25">
      <c r="A831" t="str">
        <f t="shared" si="78"/>
        <v>2278P4000X</v>
      </c>
      <c r="B831" t="str">
        <f t="shared" si="80"/>
        <v>83</v>
      </c>
      <c r="C831" t="str">
        <f t="shared" si="83"/>
        <v>093</v>
      </c>
      <c r="D831" t="s">
        <v>2466</v>
      </c>
      <c r="E831" t="s">
        <v>2493</v>
      </c>
      <c r="F831" t="s">
        <v>1145</v>
      </c>
      <c r="G831" t="s">
        <v>2505</v>
      </c>
    </row>
    <row r="832" spans="1:7" x14ac:dyDescent="0.25">
      <c r="A832" t="str">
        <f t="shared" si="78"/>
        <v>2278S1500X</v>
      </c>
      <c r="B832" t="str">
        <f t="shared" si="80"/>
        <v>83</v>
      </c>
      <c r="C832" t="str">
        <f t="shared" si="83"/>
        <v>093</v>
      </c>
      <c r="D832" t="s">
        <v>2466</v>
      </c>
      <c r="E832" t="s">
        <v>2493</v>
      </c>
      <c r="F832" t="s">
        <v>1147</v>
      </c>
      <c r="G832" t="s">
        <v>2506</v>
      </c>
    </row>
    <row r="833" spans="1:7" x14ac:dyDescent="0.25">
      <c r="A833" t="str">
        <f t="shared" si="78"/>
        <v>227900000X</v>
      </c>
      <c r="B833" t="str">
        <f t="shared" si="80"/>
        <v>83</v>
      </c>
      <c r="C833" t="str">
        <f t="shared" si="83"/>
        <v>093</v>
      </c>
      <c r="D833" t="s">
        <v>2466</v>
      </c>
      <c r="E833" t="s">
        <v>2493</v>
      </c>
      <c r="F833" t="s">
        <v>1149</v>
      </c>
      <c r="G833" t="s">
        <v>2507</v>
      </c>
    </row>
    <row r="834" spans="1:7" x14ac:dyDescent="0.25">
      <c r="A834" t="str">
        <f t="shared" si="78"/>
        <v>2279C0205X</v>
      </c>
      <c r="B834" t="str">
        <f t="shared" si="80"/>
        <v>83</v>
      </c>
      <c r="C834" t="str">
        <f t="shared" si="83"/>
        <v>093</v>
      </c>
      <c r="D834" t="s">
        <v>2466</v>
      </c>
      <c r="E834" t="s">
        <v>2493</v>
      </c>
      <c r="F834" t="s">
        <v>1151</v>
      </c>
      <c r="G834" t="s">
        <v>2508</v>
      </c>
    </row>
    <row r="835" spans="1:7" x14ac:dyDescent="0.25">
      <c r="A835" t="str">
        <f t="shared" ref="A835:A888" si="84">CLEAN(F835)</f>
        <v>2279E0002X</v>
      </c>
      <c r="B835" t="str">
        <f t="shared" si="80"/>
        <v>83</v>
      </c>
      <c r="C835" t="str">
        <f t="shared" si="83"/>
        <v>093</v>
      </c>
      <c r="D835" t="s">
        <v>2466</v>
      </c>
      <c r="E835" t="s">
        <v>2493</v>
      </c>
      <c r="F835" t="s">
        <v>1153</v>
      </c>
      <c r="G835" t="s">
        <v>2509</v>
      </c>
    </row>
    <row r="836" spans="1:7" x14ac:dyDescent="0.25">
      <c r="A836" t="str">
        <f t="shared" si="84"/>
        <v>2279E1000X</v>
      </c>
      <c r="B836" t="str">
        <f t="shared" si="80"/>
        <v>83</v>
      </c>
      <c r="C836" t="str">
        <f t="shared" si="83"/>
        <v>093</v>
      </c>
      <c r="D836" t="s">
        <v>2466</v>
      </c>
      <c r="E836" t="s">
        <v>2493</v>
      </c>
      <c r="F836" s="36" t="s">
        <v>1155</v>
      </c>
      <c r="G836" t="s">
        <v>2510</v>
      </c>
    </row>
    <row r="837" spans="1:7" x14ac:dyDescent="0.25">
      <c r="A837" t="str">
        <f t="shared" si="84"/>
        <v>2279G0305X</v>
      </c>
      <c r="B837" t="str">
        <f t="shared" si="80"/>
        <v>83</v>
      </c>
      <c r="C837" t="str">
        <f t="shared" si="83"/>
        <v>093</v>
      </c>
      <c r="D837" t="s">
        <v>2466</v>
      </c>
      <c r="E837" t="s">
        <v>2493</v>
      </c>
      <c r="F837" t="s">
        <v>1157</v>
      </c>
      <c r="G837" t="s">
        <v>2511</v>
      </c>
    </row>
    <row r="838" spans="1:7" x14ac:dyDescent="0.25">
      <c r="A838" t="str">
        <f t="shared" si="84"/>
        <v>2279G1100X</v>
      </c>
      <c r="B838" t="str">
        <f t="shared" si="80"/>
        <v>83</v>
      </c>
      <c r="C838" t="str">
        <f t="shared" si="83"/>
        <v>093</v>
      </c>
      <c r="D838" t="s">
        <v>2466</v>
      </c>
      <c r="E838" t="s">
        <v>2493</v>
      </c>
      <c r="F838" t="s">
        <v>1159</v>
      </c>
      <c r="G838" t="s">
        <v>2512</v>
      </c>
    </row>
    <row r="839" spans="1:7" x14ac:dyDescent="0.25">
      <c r="A839" t="str">
        <f t="shared" si="84"/>
        <v>2279H0200X</v>
      </c>
      <c r="B839" t="str">
        <f t="shared" si="80"/>
        <v>83</v>
      </c>
      <c r="C839" t="str">
        <f t="shared" si="83"/>
        <v>093</v>
      </c>
      <c r="D839" t="s">
        <v>2466</v>
      </c>
      <c r="E839" t="s">
        <v>2493</v>
      </c>
      <c r="F839" t="s">
        <v>1161</v>
      </c>
      <c r="G839" t="s">
        <v>2513</v>
      </c>
    </row>
    <row r="840" spans="1:7" x14ac:dyDescent="0.25">
      <c r="A840" t="str">
        <f t="shared" si="84"/>
        <v>2279P1004X</v>
      </c>
      <c r="B840" t="str">
        <f t="shared" si="80"/>
        <v>83</v>
      </c>
      <c r="C840" t="str">
        <f t="shared" si="83"/>
        <v>093</v>
      </c>
      <c r="D840" t="s">
        <v>2466</v>
      </c>
      <c r="E840" t="s">
        <v>2493</v>
      </c>
      <c r="F840" t="s">
        <v>1163</v>
      </c>
      <c r="G840" t="s">
        <v>2514</v>
      </c>
    </row>
    <row r="841" spans="1:7" x14ac:dyDescent="0.25">
      <c r="A841" t="str">
        <f t="shared" si="84"/>
        <v>2279P1005X</v>
      </c>
      <c r="B841" t="str">
        <f t="shared" si="80"/>
        <v>83</v>
      </c>
      <c r="C841" t="str">
        <f t="shared" si="83"/>
        <v>093</v>
      </c>
      <c r="D841" t="s">
        <v>2466</v>
      </c>
      <c r="E841" t="s">
        <v>2493</v>
      </c>
      <c r="F841" t="s">
        <v>1165</v>
      </c>
      <c r="G841" t="s">
        <v>2515</v>
      </c>
    </row>
    <row r="842" spans="1:7" x14ac:dyDescent="0.25">
      <c r="A842" t="str">
        <f t="shared" si="84"/>
        <v>2279P1006X</v>
      </c>
      <c r="B842" t="str">
        <f t="shared" si="80"/>
        <v>83</v>
      </c>
      <c r="C842" t="str">
        <f t="shared" si="83"/>
        <v>093</v>
      </c>
      <c r="D842" t="s">
        <v>2466</v>
      </c>
      <c r="E842" t="s">
        <v>2493</v>
      </c>
      <c r="F842" t="s">
        <v>1167</v>
      </c>
      <c r="G842" t="s">
        <v>2516</v>
      </c>
    </row>
    <row r="843" spans="1:7" x14ac:dyDescent="0.25">
      <c r="A843" t="str">
        <f t="shared" si="84"/>
        <v>2279P3800X</v>
      </c>
      <c r="B843" t="str">
        <f t="shared" si="80"/>
        <v>83</v>
      </c>
      <c r="C843" t="str">
        <f t="shared" si="83"/>
        <v>093</v>
      </c>
      <c r="D843" t="s">
        <v>2466</v>
      </c>
      <c r="E843" t="s">
        <v>2493</v>
      </c>
      <c r="F843" t="s">
        <v>1169</v>
      </c>
      <c r="G843" t="s">
        <v>2517</v>
      </c>
    </row>
    <row r="844" spans="1:7" x14ac:dyDescent="0.25">
      <c r="A844" t="str">
        <f t="shared" si="84"/>
        <v>2279P3900X</v>
      </c>
      <c r="B844" t="str">
        <f t="shared" si="80"/>
        <v>83</v>
      </c>
      <c r="C844" t="str">
        <f t="shared" si="83"/>
        <v>093</v>
      </c>
      <c r="D844" t="s">
        <v>2466</v>
      </c>
      <c r="E844" t="s">
        <v>2493</v>
      </c>
      <c r="F844" t="s">
        <v>1171</v>
      </c>
      <c r="G844" t="s">
        <v>2518</v>
      </c>
    </row>
    <row r="845" spans="1:7" x14ac:dyDescent="0.25">
      <c r="A845" t="str">
        <f t="shared" si="84"/>
        <v>2279P4000X</v>
      </c>
      <c r="B845" t="str">
        <f t="shared" si="80"/>
        <v>83</v>
      </c>
      <c r="C845" t="str">
        <f t="shared" si="83"/>
        <v>093</v>
      </c>
      <c r="D845" t="s">
        <v>2466</v>
      </c>
      <c r="E845" t="s">
        <v>2493</v>
      </c>
      <c r="F845" t="s">
        <v>1173</v>
      </c>
      <c r="G845" t="s">
        <v>2519</v>
      </c>
    </row>
    <row r="846" spans="1:7" x14ac:dyDescent="0.25">
      <c r="A846" t="str">
        <f t="shared" si="84"/>
        <v>2279S1500X</v>
      </c>
      <c r="B846" t="str">
        <f t="shared" si="80"/>
        <v>83</v>
      </c>
      <c r="C846" t="str">
        <f t="shared" si="83"/>
        <v>093</v>
      </c>
      <c r="D846" t="s">
        <v>2466</v>
      </c>
      <c r="E846" t="s">
        <v>2493</v>
      </c>
      <c r="F846" t="s">
        <v>1175</v>
      </c>
      <c r="G846" t="s">
        <v>2520</v>
      </c>
    </row>
    <row r="847" spans="1:7" x14ac:dyDescent="0.25">
      <c r="A847" t="str">
        <f t="shared" si="84"/>
        <v>261Q00000X</v>
      </c>
      <c r="B847" t="str">
        <f t="shared" si="80"/>
        <v>83</v>
      </c>
      <c r="C847" t="str">
        <f>"983"</f>
        <v>983</v>
      </c>
      <c r="D847" t="s">
        <v>2466</v>
      </c>
      <c r="E847" t="s">
        <v>2521</v>
      </c>
      <c r="F847" t="s">
        <v>1359</v>
      </c>
      <c r="G847" t="s">
        <v>1874</v>
      </c>
    </row>
    <row r="848" spans="1:7" x14ac:dyDescent="0.25">
      <c r="A848" t="str">
        <f t="shared" si="84"/>
        <v>224Z00000X</v>
      </c>
      <c r="B848" t="str">
        <f t="shared" ref="B848:B862" si="85">"84"</f>
        <v>84</v>
      </c>
      <c r="C848" t="str">
        <f>"813"</f>
        <v>813</v>
      </c>
      <c r="D848" t="s">
        <v>2522</v>
      </c>
      <c r="E848" t="s">
        <v>2523</v>
      </c>
      <c r="F848" t="s">
        <v>1029</v>
      </c>
      <c r="G848" t="s">
        <v>2523</v>
      </c>
    </row>
    <row r="849" spans="1:7" x14ac:dyDescent="0.25">
      <c r="A849" t="str">
        <f t="shared" si="84"/>
        <v>225200000X</v>
      </c>
      <c r="B849" t="str">
        <f t="shared" si="85"/>
        <v>84</v>
      </c>
      <c r="C849" t="str">
        <f>"814"</f>
        <v>814</v>
      </c>
      <c r="D849" t="s">
        <v>2522</v>
      </c>
      <c r="E849" t="s">
        <v>2524</v>
      </c>
      <c r="F849" t="s">
        <v>1063</v>
      </c>
      <c r="G849" t="s">
        <v>2524</v>
      </c>
    </row>
    <row r="850" spans="1:7" x14ac:dyDescent="0.25">
      <c r="A850" t="str">
        <f t="shared" si="84"/>
        <v>2355S0801X</v>
      </c>
      <c r="B850" t="str">
        <f t="shared" si="85"/>
        <v>84</v>
      </c>
      <c r="C850" t="str">
        <f>"815"</f>
        <v>815</v>
      </c>
      <c r="D850" t="s">
        <v>2522</v>
      </c>
      <c r="E850" t="s">
        <v>2525</v>
      </c>
      <c r="F850" t="s">
        <v>1189</v>
      </c>
      <c r="G850" t="s">
        <v>2526</v>
      </c>
    </row>
    <row r="851" spans="1:7" x14ac:dyDescent="0.25">
      <c r="A851" t="str">
        <f t="shared" si="84"/>
        <v>101YS0200X</v>
      </c>
      <c r="B851" t="str">
        <f t="shared" si="85"/>
        <v>84</v>
      </c>
      <c r="C851" t="str">
        <f>"816"</f>
        <v>816</v>
      </c>
      <c r="D851" t="s">
        <v>2522</v>
      </c>
      <c r="E851" t="s">
        <v>2527</v>
      </c>
      <c r="F851" t="s">
        <v>131</v>
      </c>
      <c r="G851" t="s">
        <v>2528</v>
      </c>
    </row>
    <row r="852" spans="1:7" x14ac:dyDescent="0.25">
      <c r="A852" t="str">
        <f t="shared" si="84"/>
        <v>164X00000X</v>
      </c>
      <c r="B852" t="str">
        <f t="shared" si="85"/>
        <v>84</v>
      </c>
      <c r="C852" t="str">
        <f>"817"</f>
        <v>817</v>
      </c>
      <c r="D852" t="s">
        <v>2522</v>
      </c>
      <c r="E852" t="s">
        <v>2423</v>
      </c>
      <c r="F852" t="s">
        <v>435</v>
      </c>
      <c r="G852" t="s">
        <v>2529</v>
      </c>
    </row>
    <row r="853" spans="1:7" x14ac:dyDescent="0.25">
      <c r="A853" t="str">
        <f t="shared" si="84"/>
        <v>103TS0200X</v>
      </c>
      <c r="B853" t="str">
        <f t="shared" si="85"/>
        <v>84</v>
      </c>
      <c r="C853" t="str">
        <f>"819"</f>
        <v>819</v>
      </c>
      <c r="D853" t="s">
        <v>2522</v>
      </c>
      <c r="E853" t="s">
        <v>2530</v>
      </c>
      <c r="F853" t="s">
        <v>184</v>
      </c>
      <c r="G853" t="s">
        <v>2373</v>
      </c>
    </row>
    <row r="854" spans="1:7" x14ac:dyDescent="0.25">
      <c r="A854" t="str">
        <f t="shared" si="84"/>
        <v>1041S0200X</v>
      </c>
      <c r="B854" t="str">
        <f t="shared" si="85"/>
        <v>84</v>
      </c>
      <c r="C854" t="str">
        <f>"820"</f>
        <v>820</v>
      </c>
      <c r="D854" t="s">
        <v>2522</v>
      </c>
      <c r="E854" t="s">
        <v>2314</v>
      </c>
      <c r="F854" t="s">
        <v>192</v>
      </c>
      <c r="G854" t="s">
        <v>2531</v>
      </c>
    </row>
    <row r="855" spans="1:7" x14ac:dyDescent="0.25">
      <c r="A855" t="str">
        <f t="shared" si="84"/>
        <v>106H00000X</v>
      </c>
      <c r="B855" t="str">
        <f t="shared" si="85"/>
        <v>84</v>
      </c>
      <c r="C855" t="str">
        <f>"821"</f>
        <v>821</v>
      </c>
      <c r="D855" t="s">
        <v>2522</v>
      </c>
      <c r="E855" t="s">
        <v>2532</v>
      </c>
      <c r="F855" t="s">
        <v>196</v>
      </c>
      <c r="G855" t="s">
        <v>2533</v>
      </c>
    </row>
    <row r="856" spans="1:7" x14ac:dyDescent="0.25">
      <c r="A856" t="str">
        <f t="shared" si="84"/>
        <v>101YS0200X</v>
      </c>
      <c r="B856" t="str">
        <f t="shared" si="85"/>
        <v>84</v>
      </c>
      <c r="C856" t="str">
        <f>"822"</f>
        <v>822</v>
      </c>
      <c r="D856" t="s">
        <v>2522</v>
      </c>
      <c r="E856" t="s">
        <v>2534</v>
      </c>
      <c r="F856" t="s">
        <v>131</v>
      </c>
      <c r="G856" t="s">
        <v>2528</v>
      </c>
    </row>
    <row r="857" spans="1:7" x14ac:dyDescent="0.25">
      <c r="A857" t="str">
        <f t="shared" si="84"/>
        <v>103K00000X</v>
      </c>
      <c r="B857" t="str">
        <f t="shared" si="85"/>
        <v>84</v>
      </c>
      <c r="C857" t="str">
        <f>"823"</f>
        <v>823</v>
      </c>
      <c r="D857" t="s">
        <v>2522</v>
      </c>
      <c r="E857" t="s">
        <v>2535</v>
      </c>
      <c r="F857" t="s">
        <v>142</v>
      </c>
      <c r="G857" t="s">
        <v>2357</v>
      </c>
    </row>
    <row r="858" spans="1:7" x14ac:dyDescent="0.25">
      <c r="A858" t="str">
        <f t="shared" si="84"/>
        <v>106E00000X</v>
      </c>
      <c r="B858" t="str">
        <f t="shared" si="85"/>
        <v>84</v>
      </c>
      <c r="C858" t="str">
        <f>"824"</f>
        <v>824</v>
      </c>
      <c r="D858" t="s">
        <v>2522</v>
      </c>
      <c r="E858" t="s">
        <v>2536</v>
      </c>
      <c r="F858" t="s">
        <v>194</v>
      </c>
      <c r="G858" t="s">
        <v>2351</v>
      </c>
    </row>
    <row r="859" spans="1:7" x14ac:dyDescent="0.25">
      <c r="A859" t="str">
        <f t="shared" si="84"/>
        <v>225X00000X</v>
      </c>
      <c r="B859" t="str">
        <f t="shared" si="85"/>
        <v>84</v>
      </c>
      <c r="C859" t="str">
        <f>"825"</f>
        <v>825</v>
      </c>
      <c r="D859" t="s">
        <v>2522</v>
      </c>
      <c r="E859" t="s">
        <v>2467</v>
      </c>
      <c r="F859" t="s">
        <v>1091</v>
      </c>
      <c r="G859" t="s">
        <v>2467</v>
      </c>
    </row>
    <row r="860" spans="1:7" x14ac:dyDescent="0.25">
      <c r="A860" t="str">
        <f t="shared" si="84"/>
        <v>225100000X</v>
      </c>
      <c r="B860" t="str">
        <f t="shared" si="85"/>
        <v>84</v>
      </c>
      <c r="C860" t="str">
        <f>"826"</f>
        <v>826</v>
      </c>
      <c r="D860" t="s">
        <v>2522</v>
      </c>
      <c r="E860" t="s">
        <v>2480</v>
      </c>
      <c r="F860" t="s">
        <v>1041</v>
      </c>
      <c r="G860" t="s">
        <v>2480</v>
      </c>
    </row>
    <row r="861" spans="1:7" x14ac:dyDescent="0.25">
      <c r="A861" t="str">
        <f t="shared" si="84"/>
        <v>235Z00000X</v>
      </c>
      <c r="B861" t="str">
        <f t="shared" si="85"/>
        <v>84</v>
      </c>
      <c r="C861" t="str">
        <f>"827"</f>
        <v>827</v>
      </c>
      <c r="D861" t="s">
        <v>2522</v>
      </c>
      <c r="E861" t="s">
        <v>2537</v>
      </c>
      <c r="F861" t="s">
        <v>1191</v>
      </c>
      <c r="G861" t="s">
        <v>2492</v>
      </c>
    </row>
    <row r="862" spans="1:7" x14ac:dyDescent="0.25">
      <c r="A862" t="str">
        <f t="shared" si="84"/>
        <v>163WS0200X</v>
      </c>
      <c r="B862" t="str">
        <f t="shared" si="85"/>
        <v>84</v>
      </c>
      <c r="C862" t="str">
        <f>"828"</f>
        <v>828</v>
      </c>
      <c r="D862" t="s">
        <v>2522</v>
      </c>
      <c r="E862" t="s">
        <v>2538</v>
      </c>
      <c r="F862" t="s">
        <v>409</v>
      </c>
      <c r="G862" t="s">
        <v>2539</v>
      </c>
    </row>
    <row r="863" spans="1:7" x14ac:dyDescent="0.25">
      <c r="A863" t="str">
        <f t="shared" si="84"/>
        <v>261QE0700X</v>
      </c>
      <c r="B863" t="str">
        <f>"89"</f>
        <v>89</v>
      </c>
      <c r="C863" t="str">
        <f>"989"</f>
        <v>989</v>
      </c>
      <c r="D863" t="s">
        <v>2540</v>
      </c>
      <c r="E863" t="s">
        <v>2540</v>
      </c>
      <c r="F863" t="s">
        <v>1387</v>
      </c>
      <c r="G863" t="s">
        <v>2541</v>
      </c>
    </row>
    <row r="864" spans="1:7" x14ac:dyDescent="0.25">
      <c r="A864" t="str">
        <f t="shared" si="84"/>
        <v>332BX2000X</v>
      </c>
      <c r="B864" t="str">
        <f t="shared" ref="B864:B875" si="86">"90"</f>
        <v>90</v>
      </c>
      <c r="C864" t="str">
        <f>"069"</f>
        <v>069</v>
      </c>
      <c r="D864" t="s">
        <v>2542</v>
      </c>
      <c r="E864" t="s">
        <v>2543</v>
      </c>
      <c r="F864" t="s">
        <v>1609</v>
      </c>
      <c r="G864" t="s">
        <v>2544</v>
      </c>
    </row>
    <row r="865" spans="1:7" x14ac:dyDescent="0.25">
      <c r="A865" t="str">
        <f t="shared" si="84"/>
        <v>222Z00000X</v>
      </c>
      <c r="B865" t="str">
        <f t="shared" si="86"/>
        <v>90</v>
      </c>
      <c r="C865" t="str">
        <f t="shared" ref="C865:C875" si="87">"990"</f>
        <v>990</v>
      </c>
      <c r="D865" t="s">
        <v>2542</v>
      </c>
      <c r="E865" t="s">
        <v>2542</v>
      </c>
      <c r="F865" t="s">
        <v>1019</v>
      </c>
      <c r="G865" t="s">
        <v>2545</v>
      </c>
    </row>
    <row r="866" spans="1:7" x14ac:dyDescent="0.25">
      <c r="A866" t="str">
        <f t="shared" si="84"/>
        <v>224900000X</v>
      </c>
      <c r="B866" t="str">
        <f t="shared" si="86"/>
        <v>90</v>
      </c>
      <c r="C866" t="str">
        <f t="shared" si="87"/>
        <v>990</v>
      </c>
      <c r="D866" t="s">
        <v>2542</v>
      </c>
      <c r="E866" t="s">
        <v>2542</v>
      </c>
      <c r="F866" t="s">
        <v>1021</v>
      </c>
      <c r="G866" t="s">
        <v>2546</v>
      </c>
    </row>
    <row r="867" spans="1:7" x14ac:dyDescent="0.25">
      <c r="A867" t="str">
        <f t="shared" si="84"/>
        <v>224L00000X</v>
      </c>
      <c r="B867" t="str">
        <f t="shared" si="86"/>
        <v>90</v>
      </c>
      <c r="C867" t="str">
        <f t="shared" si="87"/>
        <v>990</v>
      </c>
      <c r="D867" t="s">
        <v>2542</v>
      </c>
      <c r="E867" t="s">
        <v>2542</v>
      </c>
      <c r="F867" t="s">
        <v>1023</v>
      </c>
      <c r="G867" t="s">
        <v>2547</v>
      </c>
    </row>
    <row r="868" spans="1:7" x14ac:dyDescent="0.25">
      <c r="A868" t="str">
        <f t="shared" si="84"/>
        <v>224P00000X</v>
      </c>
      <c r="B868" t="str">
        <f t="shared" si="86"/>
        <v>90</v>
      </c>
      <c r="C868" t="str">
        <f t="shared" si="87"/>
        <v>990</v>
      </c>
      <c r="D868" t="s">
        <v>2542</v>
      </c>
      <c r="E868" t="s">
        <v>2542</v>
      </c>
      <c r="F868" t="s">
        <v>1025</v>
      </c>
      <c r="G868" t="s">
        <v>2548</v>
      </c>
    </row>
    <row r="869" spans="1:7" x14ac:dyDescent="0.25">
      <c r="A869" t="str">
        <f t="shared" si="84"/>
        <v>225000000X</v>
      </c>
      <c r="B869" t="str">
        <f t="shared" si="86"/>
        <v>90</v>
      </c>
      <c r="C869" t="str">
        <f t="shared" si="87"/>
        <v>990</v>
      </c>
      <c r="D869" t="s">
        <v>2542</v>
      </c>
      <c r="E869" t="s">
        <v>2542</v>
      </c>
      <c r="F869" t="s">
        <v>1039</v>
      </c>
      <c r="G869" t="s">
        <v>2549</v>
      </c>
    </row>
    <row r="870" spans="1:7" x14ac:dyDescent="0.25">
      <c r="A870" t="str">
        <f t="shared" si="84"/>
        <v>332B00000X</v>
      </c>
      <c r="B870" t="str">
        <f t="shared" si="86"/>
        <v>90</v>
      </c>
      <c r="C870" t="str">
        <f t="shared" si="87"/>
        <v>990</v>
      </c>
      <c r="D870" t="s">
        <v>2542</v>
      </c>
      <c r="E870" t="s">
        <v>2542</v>
      </c>
      <c r="F870" t="s">
        <v>1599</v>
      </c>
      <c r="G870" t="s">
        <v>2550</v>
      </c>
    </row>
    <row r="871" spans="1:7" x14ac:dyDescent="0.25">
      <c r="A871" t="str">
        <f t="shared" si="84"/>
        <v>332BC3200X</v>
      </c>
      <c r="B871" t="str">
        <f t="shared" si="86"/>
        <v>90</v>
      </c>
      <c r="C871" t="str">
        <f t="shared" si="87"/>
        <v>990</v>
      </c>
      <c r="D871" t="s">
        <v>2542</v>
      </c>
      <c r="E871" t="s">
        <v>2542</v>
      </c>
      <c r="F871" t="s">
        <v>1601</v>
      </c>
      <c r="G871" t="s">
        <v>2551</v>
      </c>
    </row>
    <row r="872" spans="1:7" x14ac:dyDescent="0.25">
      <c r="A872" t="str">
        <f t="shared" si="84"/>
        <v>332BD1200X</v>
      </c>
      <c r="B872" t="str">
        <f t="shared" si="86"/>
        <v>90</v>
      </c>
      <c r="C872" t="str">
        <f t="shared" si="87"/>
        <v>990</v>
      </c>
      <c r="D872" t="s">
        <v>2542</v>
      </c>
      <c r="E872" t="s">
        <v>2542</v>
      </c>
      <c r="F872" t="s">
        <v>1603</v>
      </c>
      <c r="G872" t="s">
        <v>2552</v>
      </c>
    </row>
    <row r="873" spans="1:7" x14ac:dyDescent="0.25">
      <c r="A873" t="str">
        <f t="shared" si="84"/>
        <v>332BN1400X</v>
      </c>
      <c r="B873" t="str">
        <f t="shared" si="86"/>
        <v>90</v>
      </c>
      <c r="C873" t="str">
        <f t="shared" si="87"/>
        <v>990</v>
      </c>
      <c r="D873" t="s">
        <v>2542</v>
      </c>
      <c r="E873" t="s">
        <v>2542</v>
      </c>
      <c r="F873" t="s">
        <v>1605</v>
      </c>
      <c r="G873" t="s">
        <v>2553</v>
      </c>
    </row>
    <row r="874" spans="1:7" x14ac:dyDescent="0.25">
      <c r="A874" t="str">
        <f t="shared" si="84"/>
        <v>332BP3500X</v>
      </c>
      <c r="B874" t="str">
        <f t="shared" si="86"/>
        <v>90</v>
      </c>
      <c r="C874" t="str">
        <f t="shared" si="87"/>
        <v>990</v>
      </c>
      <c r="D874" t="s">
        <v>2542</v>
      </c>
      <c r="E874" t="s">
        <v>2542</v>
      </c>
      <c r="F874" t="s">
        <v>1607</v>
      </c>
      <c r="G874" t="s">
        <v>2554</v>
      </c>
    </row>
    <row r="875" spans="1:7" x14ac:dyDescent="0.25">
      <c r="A875" t="str">
        <f t="shared" si="84"/>
        <v>335E00000X</v>
      </c>
      <c r="B875" t="str">
        <f t="shared" si="86"/>
        <v>90</v>
      </c>
      <c r="C875" t="str">
        <f t="shared" si="87"/>
        <v>990</v>
      </c>
      <c r="D875" t="s">
        <v>2542</v>
      </c>
      <c r="E875" t="s">
        <v>2542</v>
      </c>
      <c r="F875" t="s">
        <v>1643</v>
      </c>
      <c r="G875" t="s">
        <v>2555</v>
      </c>
    </row>
    <row r="876" spans="1:7" x14ac:dyDescent="0.25">
      <c r="A876" t="str">
        <f t="shared" si="84"/>
        <v>251B00000X</v>
      </c>
      <c r="B876" t="str">
        <f t="shared" ref="B876:B885" si="88">"91"</f>
        <v>91</v>
      </c>
      <c r="C876" t="str">
        <f>"174"</f>
        <v>174</v>
      </c>
      <c r="D876" t="s">
        <v>2556</v>
      </c>
      <c r="E876" t="s">
        <v>2313</v>
      </c>
      <c r="F876" t="s">
        <v>1331</v>
      </c>
      <c r="G876" t="s">
        <v>2557</v>
      </c>
    </row>
    <row r="877" spans="1:7" x14ac:dyDescent="0.25">
      <c r="A877" t="str">
        <f t="shared" si="84"/>
        <v>251B00000X</v>
      </c>
      <c r="B877" t="str">
        <f t="shared" si="88"/>
        <v>91</v>
      </c>
      <c r="C877" t="str">
        <f>"175"</f>
        <v>175</v>
      </c>
      <c r="D877" t="s">
        <v>2556</v>
      </c>
      <c r="E877" t="s">
        <v>2317</v>
      </c>
      <c r="F877" t="s">
        <v>1331</v>
      </c>
      <c r="G877" t="s">
        <v>2557</v>
      </c>
    </row>
    <row r="878" spans="1:7" x14ac:dyDescent="0.25">
      <c r="A878" t="str">
        <f t="shared" si="84"/>
        <v>251B00000X</v>
      </c>
      <c r="B878" t="str">
        <f t="shared" si="88"/>
        <v>91</v>
      </c>
      <c r="C878" t="str">
        <f>"176"</f>
        <v>176</v>
      </c>
      <c r="D878" t="s">
        <v>2556</v>
      </c>
      <c r="E878" t="s">
        <v>2318</v>
      </c>
      <c r="F878" t="s">
        <v>1331</v>
      </c>
      <c r="G878" t="s">
        <v>2557</v>
      </c>
    </row>
    <row r="879" spans="1:7" x14ac:dyDescent="0.25">
      <c r="A879" t="str">
        <f t="shared" si="84"/>
        <v>251B00000X</v>
      </c>
      <c r="B879" t="str">
        <f t="shared" si="88"/>
        <v>91</v>
      </c>
      <c r="C879" t="str">
        <f>"177"</f>
        <v>177</v>
      </c>
      <c r="D879" t="s">
        <v>2556</v>
      </c>
      <c r="E879" t="s">
        <v>2299</v>
      </c>
      <c r="F879" t="s">
        <v>1331</v>
      </c>
      <c r="G879" t="s">
        <v>2557</v>
      </c>
    </row>
    <row r="880" spans="1:7" x14ac:dyDescent="0.25">
      <c r="A880" t="str">
        <f t="shared" si="84"/>
        <v>251B00000X</v>
      </c>
      <c r="B880" t="str">
        <f t="shared" si="88"/>
        <v>91</v>
      </c>
      <c r="C880" t="str">
        <f>"178"</f>
        <v>178</v>
      </c>
      <c r="D880" t="s">
        <v>2556</v>
      </c>
      <c r="E880" t="s">
        <v>2558</v>
      </c>
      <c r="F880" t="s">
        <v>1331</v>
      </c>
      <c r="G880" t="s">
        <v>2557</v>
      </c>
    </row>
    <row r="881" spans="1:7" x14ac:dyDescent="0.25">
      <c r="A881" t="str">
        <f t="shared" si="84"/>
        <v>302R00000X</v>
      </c>
      <c r="B881" t="str">
        <f t="shared" si="88"/>
        <v>91</v>
      </c>
      <c r="C881" t="str">
        <f>"691"</f>
        <v>691</v>
      </c>
      <c r="D881" t="s">
        <v>2556</v>
      </c>
      <c r="E881" t="s">
        <v>2559</v>
      </c>
      <c r="F881" t="s">
        <v>1541</v>
      </c>
      <c r="G881" t="s">
        <v>2451</v>
      </c>
    </row>
    <row r="882" spans="1:7" x14ac:dyDescent="0.25">
      <c r="A882" t="str">
        <f t="shared" si="84"/>
        <v>302R00000X</v>
      </c>
      <c r="B882" t="str">
        <f t="shared" si="88"/>
        <v>91</v>
      </c>
      <c r="C882" t="str">
        <f>"692"</f>
        <v>692</v>
      </c>
      <c r="D882" t="s">
        <v>2556</v>
      </c>
      <c r="E882" t="s">
        <v>2560</v>
      </c>
      <c r="F882" t="s">
        <v>1541</v>
      </c>
      <c r="G882" t="s">
        <v>2451</v>
      </c>
    </row>
    <row r="883" spans="1:7" x14ac:dyDescent="0.25">
      <c r="A883" t="str">
        <f t="shared" si="84"/>
        <v>302R00000X</v>
      </c>
      <c r="B883" t="str">
        <f t="shared" si="88"/>
        <v>91</v>
      </c>
      <c r="C883" t="str">
        <f>"693"</f>
        <v>693</v>
      </c>
      <c r="D883" t="s">
        <v>2556</v>
      </c>
      <c r="E883" t="s">
        <v>2561</v>
      </c>
      <c r="F883" t="s">
        <v>1541</v>
      </c>
      <c r="G883" t="s">
        <v>2451</v>
      </c>
    </row>
    <row r="884" spans="1:7" x14ac:dyDescent="0.25">
      <c r="A884" t="str">
        <f t="shared" si="84"/>
        <v>302R00000X</v>
      </c>
      <c r="B884" t="str">
        <f t="shared" si="88"/>
        <v>91</v>
      </c>
      <c r="C884" t="str">
        <f>"694"</f>
        <v>694</v>
      </c>
      <c r="D884" t="s">
        <v>2556</v>
      </c>
      <c r="E884" t="s">
        <v>2562</v>
      </c>
      <c r="F884" t="s">
        <v>1541</v>
      </c>
      <c r="G884" t="s">
        <v>2451</v>
      </c>
    </row>
    <row r="885" spans="1:7" x14ac:dyDescent="0.25">
      <c r="A885" t="str">
        <f t="shared" si="84"/>
        <v>251B00000X</v>
      </c>
      <c r="B885" t="str">
        <f t="shared" si="88"/>
        <v>91</v>
      </c>
      <c r="C885" t="str">
        <f>"991"</f>
        <v>991</v>
      </c>
      <c r="D885" t="s">
        <v>2556</v>
      </c>
      <c r="E885" t="s">
        <v>2556</v>
      </c>
      <c r="F885" t="s">
        <v>1331</v>
      </c>
      <c r="G885" t="s">
        <v>2557</v>
      </c>
    </row>
    <row r="886" spans="1:7" x14ac:dyDescent="0.25">
      <c r="A886" t="str">
        <f t="shared" si="84"/>
        <v>171100000X</v>
      </c>
      <c r="B886" t="str">
        <f>"97"</f>
        <v>97</v>
      </c>
      <c r="C886" t="str">
        <f>"800"</f>
        <v>800</v>
      </c>
      <c r="D886" t="s">
        <v>2563</v>
      </c>
      <c r="E886" t="s">
        <v>2564</v>
      </c>
      <c r="F886" t="s">
        <v>449</v>
      </c>
      <c r="G886" t="s">
        <v>2565</v>
      </c>
    </row>
    <row r="887" spans="1:7" x14ac:dyDescent="0.25">
      <c r="A887" t="str">
        <f t="shared" si="84"/>
        <v>133N00000X</v>
      </c>
      <c r="B887" t="str">
        <f>"97"</f>
        <v>97</v>
      </c>
      <c r="C887" t="str">
        <f>"801"</f>
        <v>801</v>
      </c>
      <c r="D887" t="s">
        <v>2563</v>
      </c>
      <c r="E887" t="s">
        <v>2566</v>
      </c>
      <c r="F887" t="s">
        <v>267</v>
      </c>
      <c r="G887" t="s">
        <v>2567</v>
      </c>
    </row>
    <row r="888" spans="1:7" x14ac:dyDescent="0.25">
      <c r="A888" t="str">
        <f t="shared" si="84"/>
        <v>261QM1200X</v>
      </c>
      <c r="B888" t="str">
        <f>"97"</f>
        <v>97</v>
      </c>
      <c r="C888" t="str">
        <f>"802"</f>
        <v>802</v>
      </c>
      <c r="D888" t="s">
        <v>2563</v>
      </c>
      <c r="E888" t="s">
        <v>2568</v>
      </c>
      <c r="F888" t="s">
        <v>1421</v>
      </c>
      <c r="G888" t="s">
        <v>2569</v>
      </c>
    </row>
  </sheetData>
  <autoFilter ref="A1:H1" xr:uid="{C0545897-0943-4F56-9BDF-43D68B14C9A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919"/>
  <sheetViews>
    <sheetView zoomScale="68" zoomScaleNormal="68" workbookViewId="0">
      <pane xSplit="5" ySplit="1" topLeftCell="F2" activePane="bottomRight" state="frozen"/>
      <selection pane="topRight" activeCell="AG17" sqref="AG17"/>
      <selection pane="bottomLeft" activeCell="AG17" sqref="AG17"/>
      <selection pane="bottomRight" activeCell="G1" sqref="G1"/>
    </sheetView>
  </sheetViews>
  <sheetFormatPr defaultColWidth="9.28515625" defaultRowHeight="17.25" x14ac:dyDescent="0.3"/>
  <cols>
    <col min="1" max="1" width="20" style="22" customWidth="1"/>
    <col min="2" max="2" width="59.140625" style="22" bestFit="1" customWidth="1"/>
    <col min="3" max="3" width="15.28515625" style="22" bestFit="1" customWidth="1"/>
    <col min="4" max="4" width="49.7109375" style="2" customWidth="1"/>
    <col min="5" max="5" width="46.7109375" style="2" customWidth="1"/>
    <col min="6" max="6" width="28" style="2" customWidth="1"/>
    <col min="7" max="7" width="19.5703125" style="2" customWidth="1"/>
    <col min="8" max="8" width="27.42578125" style="2" customWidth="1"/>
    <col min="9" max="9" width="26.42578125" style="2" customWidth="1"/>
    <col min="10" max="10" width="21.5703125" style="2" customWidth="1"/>
    <col min="11" max="11" width="27.7109375" style="2" customWidth="1"/>
    <col min="12" max="12" width="29.42578125" style="2" customWidth="1"/>
    <col min="13" max="14" width="24.28515625" style="2" customWidth="1"/>
    <col min="15" max="15" width="24" style="2" customWidth="1"/>
    <col min="16" max="16" width="52.28515625" style="10" customWidth="1"/>
    <col min="17" max="17" width="8.42578125" customWidth="1"/>
    <col min="18" max="18" width="12.7109375" style="16" customWidth="1"/>
    <col min="19" max="19" width="52.28515625" style="18" customWidth="1"/>
    <col min="20" max="20" width="1.7109375" style="16" customWidth="1"/>
    <col min="21" max="21" width="58.7109375" style="16" customWidth="1"/>
    <col min="22" max="22" width="5.7109375" style="16" bestFit="1" customWidth="1"/>
    <col min="23" max="23" width="25.28515625" bestFit="1" customWidth="1"/>
    <col min="24" max="24" width="14.5703125" customWidth="1"/>
    <col min="25" max="16384" width="9.28515625" style="2"/>
  </cols>
  <sheetData>
    <row r="1" spans="1:33" s="6" customFormat="1" x14ac:dyDescent="0.25">
      <c r="A1" s="20" t="s">
        <v>2570</v>
      </c>
      <c r="B1" s="20" t="s">
        <v>2571</v>
      </c>
      <c r="C1" s="20" t="s">
        <v>2572</v>
      </c>
      <c r="D1" s="7" t="s">
        <v>2573</v>
      </c>
      <c r="E1" s="7" t="s">
        <v>2574</v>
      </c>
      <c r="F1" s="7" t="s">
        <v>2575</v>
      </c>
      <c r="G1" s="7" t="s">
        <v>2576</v>
      </c>
      <c r="H1" s="7" t="s">
        <v>2577</v>
      </c>
      <c r="I1" s="7" t="s">
        <v>2578</v>
      </c>
      <c r="J1" s="7" t="s">
        <v>2579</v>
      </c>
      <c r="K1" s="7" t="s">
        <v>2580</v>
      </c>
      <c r="L1" s="7" t="s">
        <v>2581</v>
      </c>
      <c r="M1" s="7" t="s">
        <v>2582</v>
      </c>
      <c r="N1" s="7" t="s">
        <v>2583</v>
      </c>
      <c r="O1" s="7" t="s">
        <v>2584</v>
      </c>
      <c r="P1" s="11" t="s">
        <v>2585</v>
      </c>
      <c r="Q1" s="13"/>
      <c r="R1" s="16"/>
      <c r="S1" s="15" t="s">
        <v>2586</v>
      </c>
      <c r="T1" s="16"/>
      <c r="U1" s="16"/>
      <c r="V1" s="17">
        <f ca="1">COUNTIF(U:U,"?*")</f>
        <v>917</v>
      </c>
      <c r="W1" s="13"/>
      <c r="X1" s="13"/>
      <c r="AA1" s="12"/>
      <c r="AG1" s="14"/>
    </row>
    <row r="2" spans="1:33" x14ac:dyDescent="0.3">
      <c r="A2" s="21" t="s">
        <v>449</v>
      </c>
      <c r="B2" s="21" t="str">
        <f>Table1[[#This Row],[Code]]&amp;" "&amp;Table1[[#This Row],[Portico_Specialty]]</f>
        <v>171100000X Acupuncturist</v>
      </c>
      <c r="C2" s="21" t="str">
        <f>CLEAN(Table1[[#This Row],[Code]])</f>
        <v>171100000X</v>
      </c>
      <c r="D2" s="1" t="s">
        <v>450</v>
      </c>
      <c r="E2" s="1"/>
      <c r="F2" s="1" t="s">
        <v>2587</v>
      </c>
      <c r="G2" s="3" t="s">
        <v>2588</v>
      </c>
      <c r="H2" s="1" t="s">
        <v>2589</v>
      </c>
      <c r="I2" s="1"/>
      <c r="J2" s="1" t="s">
        <v>2589</v>
      </c>
      <c r="K2" s="1" t="s">
        <v>2590</v>
      </c>
      <c r="L2" s="1" t="s">
        <v>2589</v>
      </c>
      <c r="M2" s="1" t="s">
        <v>2589</v>
      </c>
      <c r="N2" s="1" t="s">
        <v>2590</v>
      </c>
      <c r="O2" s="1" t="s">
        <v>2590</v>
      </c>
      <c r="P2" s="9"/>
      <c r="R2" s="16">
        <f ca="1">IF(ISNUMBER(SEARCH(INDIRECT(CELL("address")),S2)),MAX($R$1:R1)+1,0)</f>
        <v>1</v>
      </c>
      <c r="S2" s="18" t="str">
        <f>Table1[[#This Row],[Portico_Specialty]]&amp;"-"&amp;Table1[[#This Row],[Code]]</f>
        <v>Acupuncturist-171100000X</v>
      </c>
      <c r="U2" s="16" t="str">
        <f ca="1">IFERROR(VLOOKUP(ROWS($U$1:U1),$R$2:$S$918,2,FALSE),"")</f>
        <v>Acupuncturist-171100000X</v>
      </c>
    </row>
    <row r="3" spans="1:33" x14ac:dyDescent="0.3">
      <c r="A3" s="21" t="s">
        <v>1803</v>
      </c>
      <c r="B3" s="21" t="str">
        <f>Table1[[#This Row],[Code]]&amp;" "&amp;Table1[[#This Row],[Portico_Specialty]]</f>
        <v>372600000X Adult Companion</v>
      </c>
      <c r="C3" s="21" t="str">
        <f>CLEAN(Table1[[#This Row],[Code]])</f>
        <v>372600000X</v>
      </c>
      <c r="D3" s="1" t="s">
        <v>1804</v>
      </c>
      <c r="E3" s="1"/>
      <c r="F3" s="1" t="s">
        <v>2587</v>
      </c>
      <c r="G3" s="3" t="s">
        <v>2588</v>
      </c>
      <c r="H3" s="1" t="s">
        <v>2590</v>
      </c>
      <c r="I3" s="1"/>
      <c r="J3" s="1" t="s">
        <v>2590</v>
      </c>
      <c r="K3" s="1" t="s">
        <v>2591</v>
      </c>
      <c r="L3" s="1"/>
      <c r="M3" s="1"/>
      <c r="N3" s="1"/>
      <c r="O3" s="1" t="s">
        <v>2591</v>
      </c>
      <c r="P3" s="9"/>
      <c r="R3" s="16">
        <f ca="1">IF(ISNUMBER(SEARCH(INDIRECT(CELL("address")),S3)),MAX($R$1:R2)+1,0)</f>
        <v>2</v>
      </c>
      <c r="S3" s="18" t="str">
        <f>Table1[[#This Row],[Portico_Specialty]]&amp;"-"&amp;Table1[[#This Row],[Code]]</f>
        <v>Adult Companion-372600000X</v>
      </c>
      <c r="U3" s="16" t="str">
        <f ca="1">IFERROR(VLOOKUP(ROWS($U$1:U2),$R$2:$S$918,2,FALSE),"")</f>
        <v>Adult Companion-372600000X</v>
      </c>
    </row>
    <row r="4" spans="1:33" x14ac:dyDescent="0.3">
      <c r="A4" s="21" t="s">
        <v>257</v>
      </c>
      <c r="B4" s="21" t="str">
        <f>Table1[[#This Row],[Code]]&amp;" "&amp;Table1[[#This Row],[Portico_Specialty]]</f>
        <v>125K00000X Advanced Practice Dental Therapist</v>
      </c>
      <c r="C4" s="21" t="str">
        <f>CLEAN(Table1[[#This Row],[Code]])</f>
        <v>125K00000X</v>
      </c>
      <c r="D4" s="1" t="s">
        <v>258</v>
      </c>
      <c r="E4" s="1"/>
      <c r="F4" s="1" t="s">
        <v>2587</v>
      </c>
      <c r="G4" s="3" t="s">
        <v>2588</v>
      </c>
      <c r="H4" s="1"/>
      <c r="I4" s="1"/>
      <c r="J4" s="1" t="s">
        <v>2590</v>
      </c>
      <c r="K4" s="1" t="s">
        <v>2592</v>
      </c>
      <c r="L4" s="1"/>
      <c r="M4" s="1"/>
      <c r="N4" s="1"/>
      <c r="O4" s="1" t="s">
        <v>2592</v>
      </c>
      <c r="P4" s="9"/>
      <c r="R4" s="16">
        <f ca="1">IF(ISNUMBER(SEARCH(INDIRECT(CELL("address")),S4)),MAX($R$1:R3)+1,0)</f>
        <v>3</v>
      </c>
      <c r="S4" s="18" t="str">
        <f>Table1[[#This Row],[Portico_Specialty]]&amp;"-"&amp;Table1[[#This Row],[Code]]</f>
        <v>Advanced Practice Dental Therapist-125K00000X</v>
      </c>
      <c r="U4" s="16" t="str">
        <f ca="1">IFERROR(VLOOKUP(ROWS($U$1:U3),$R$2:$S$918,2,FALSE),"")</f>
        <v>Advanced Practice Dental Therapist-125K00000X</v>
      </c>
    </row>
    <row r="5" spans="1:33" x14ac:dyDescent="0.3">
      <c r="A5" s="21" t="s">
        <v>1797</v>
      </c>
      <c r="B5" s="21" t="str">
        <f>Table1[[#This Row],[Code]]&amp;" "&amp;Table1[[#This Row],[Portico_Specialty]]</f>
        <v>367A00000X Advanced Practice Midwife</v>
      </c>
      <c r="C5" s="21" t="str">
        <f>CLEAN(Table1[[#This Row],[Code]])</f>
        <v>367A00000X</v>
      </c>
      <c r="D5" s="1" t="s">
        <v>1798</v>
      </c>
      <c r="E5" s="1"/>
      <c r="F5" s="1" t="s">
        <v>2587</v>
      </c>
      <c r="G5" s="4" t="s">
        <v>2593</v>
      </c>
      <c r="H5" s="1" t="s">
        <v>2594</v>
      </c>
      <c r="I5" s="1"/>
      <c r="J5" s="1" t="s">
        <v>2594</v>
      </c>
      <c r="K5" s="1" t="s">
        <v>2594</v>
      </c>
      <c r="L5" s="1" t="s">
        <v>2594</v>
      </c>
      <c r="M5" s="1" t="s">
        <v>2594</v>
      </c>
      <c r="N5" s="1" t="s">
        <v>2594</v>
      </c>
      <c r="O5" s="1" t="s">
        <v>2594</v>
      </c>
      <c r="P5" s="9"/>
      <c r="R5" s="16">
        <f ca="1">IF(ISNUMBER(SEARCH(INDIRECT(CELL("address")),S5)),MAX($R$1:R4)+1,0)</f>
        <v>4</v>
      </c>
      <c r="S5" s="18" t="str">
        <f>Table1[[#This Row],[Portico_Specialty]]&amp;"-"&amp;Table1[[#This Row],[Code]]</f>
        <v>Advanced Practice Midwife-367A00000X</v>
      </c>
      <c r="U5" s="16" t="str">
        <f ca="1">IFERROR(VLOOKUP(ROWS($U$1:U4),$R$2:$S$918,2,FALSE),"")</f>
        <v>Advanced Practice Midwife-367A00000X</v>
      </c>
    </row>
    <row r="6" spans="1:33" x14ac:dyDescent="0.3">
      <c r="A6" s="21" t="s">
        <v>1675</v>
      </c>
      <c r="B6" s="21" t="str">
        <f>Table1[[#This Row],[Code]]&amp;" "&amp;Table1[[#This Row],[Portico_Specialty]]</f>
        <v>344800000X Air Carrier</v>
      </c>
      <c r="C6" s="21" t="str">
        <f>CLEAN(Table1[[#This Row],[Code]])</f>
        <v>344800000X</v>
      </c>
      <c r="D6" s="1" t="s">
        <v>1676</v>
      </c>
      <c r="E6" s="1"/>
      <c r="F6" s="1" t="s">
        <v>2587</v>
      </c>
      <c r="G6" s="3" t="s">
        <v>2588</v>
      </c>
      <c r="H6" s="1" t="s">
        <v>2595</v>
      </c>
      <c r="I6" s="1"/>
      <c r="J6" s="1" t="s">
        <v>2595</v>
      </c>
      <c r="K6" s="1" t="s">
        <v>2596</v>
      </c>
      <c r="L6" s="1" t="s">
        <v>2595</v>
      </c>
      <c r="M6" s="1" t="s">
        <v>2595</v>
      </c>
      <c r="N6" s="1"/>
      <c r="O6" s="1" t="s">
        <v>2596</v>
      </c>
      <c r="P6" s="9"/>
      <c r="R6" s="16">
        <f ca="1">IF(ISNUMBER(SEARCH(INDIRECT(CELL("address")),S6)),MAX($R$1:R5)+1,0)</f>
        <v>5</v>
      </c>
      <c r="S6" s="18" t="str">
        <f>Table1[[#This Row],[Portico_Specialty]]&amp;"-"&amp;Table1[[#This Row],[Code]]</f>
        <v>Air Carrier-344800000X</v>
      </c>
      <c r="U6" s="16" t="str">
        <f ca="1">IFERROR(VLOOKUP(ROWS($U$1:U5),$R$2:$S$918,2,FALSE),"")</f>
        <v>Air Carrier-344800000X</v>
      </c>
    </row>
    <row r="7" spans="1:33" x14ac:dyDescent="0.3">
      <c r="A7" s="21" t="s">
        <v>557</v>
      </c>
      <c r="B7" s="21" t="str">
        <f>Table1[[#This Row],[Code]]&amp;" "&amp;Table1[[#This Row],[Portico_Specialty]]</f>
        <v>207K00000X Allergy &amp; Immunology</v>
      </c>
      <c r="C7" s="21" t="str">
        <f>CLEAN(Table1[[#This Row],[Code]])</f>
        <v>207K00000X</v>
      </c>
      <c r="D7" s="1" t="s">
        <v>558</v>
      </c>
      <c r="E7" s="1"/>
      <c r="F7" s="1" t="s">
        <v>2587</v>
      </c>
      <c r="G7" s="4" t="s">
        <v>2593</v>
      </c>
      <c r="H7" s="1" t="s">
        <v>2597</v>
      </c>
      <c r="I7" s="1"/>
      <c r="J7" s="1" t="s">
        <v>2597</v>
      </c>
      <c r="K7" s="1" t="s">
        <v>2597</v>
      </c>
      <c r="L7" s="1" t="s">
        <v>2597</v>
      </c>
      <c r="M7" s="1" t="s">
        <v>2597</v>
      </c>
      <c r="N7" s="1" t="s">
        <v>2597</v>
      </c>
      <c r="O7" s="1" t="s">
        <v>2597</v>
      </c>
      <c r="P7" s="9"/>
      <c r="R7" s="16">
        <f ca="1">IF(ISNUMBER(SEARCH(INDIRECT(CELL("address")),S7)),MAX($R$1:R6)+1,0)</f>
        <v>6</v>
      </c>
      <c r="S7" s="18" t="str">
        <f>Table1[[#This Row],[Portico_Specialty]]&amp;"-"&amp;Table1[[#This Row],[Code]]</f>
        <v>Allergy &amp; Immunology-207K00000X</v>
      </c>
      <c r="U7" s="16" t="str">
        <f ca="1">IFERROR(VLOOKUP(ROWS($U$1:U6),$R$2:$S$918,2,FALSE),"")</f>
        <v>Allergy &amp; Immunology-207K00000X</v>
      </c>
    </row>
    <row r="8" spans="1:33" x14ac:dyDescent="0.3">
      <c r="A8" s="21" t="s">
        <v>559</v>
      </c>
      <c r="B8" s="21" t="str">
        <f>Table1[[#This Row],[Code]]&amp;" "&amp;Table1[[#This Row],[Portico_Specialty]]</f>
        <v>207KA0200X Allergy &amp; Immunology: Allergy</v>
      </c>
      <c r="C8" s="21" t="str">
        <f>CLEAN(Table1[[#This Row],[Code]])</f>
        <v>207KA0200X</v>
      </c>
      <c r="D8" s="1" t="s">
        <v>560</v>
      </c>
      <c r="E8" s="1"/>
      <c r="F8" s="1" t="s">
        <v>2587</v>
      </c>
      <c r="G8" s="4" t="s">
        <v>2593</v>
      </c>
      <c r="H8" s="1" t="s">
        <v>2597</v>
      </c>
      <c r="I8" s="1"/>
      <c r="J8" s="1" t="s">
        <v>2597</v>
      </c>
      <c r="K8" s="1" t="s">
        <v>2597</v>
      </c>
      <c r="L8" s="1" t="s">
        <v>2597</v>
      </c>
      <c r="M8" s="1" t="s">
        <v>2597</v>
      </c>
      <c r="N8" s="1" t="s">
        <v>2597</v>
      </c>
      <c r="O8" s="1" t="s">
        <v>2597</v>
      </c>
      <c r="P8" s="9"/>
      <c r="R8" s="16">
        <f ca="1">IF(ISNUMBER(SEARCH(INDIRECT(CELL("address")),S8)),MAX($R$1:R7)+1,0)</f>
        <v>7</v>
      </c>
      <c r="S8" s="18" t="str">
        <f>Table1[[#This Row],[Portico_Specialty]]&amp;"-"&amp;Table1[[#This Row],[Code]]</f>
        <v>Allergy &amp; Immunology: Allergy-207KA0200X</v>
      </c>
      <c r="U8" s="16" t="str">
        <f ca="1">IFERROR(VLOOKUP(ROWS($U$1:U7),$R$2:$S$918,2,FALSE),"")</f>
        <v>Allergy &amp; Immunology: Allergy-207KA0200X</v>
      </c>
    </row>
    <row r="9" spans="1:33" ht="30.75" x14ac:dyDescent="0.3">
      <c r="A9" s="21" t="s">
        <v>561</v>
      </c>
      <c r="B9" s="21" t="str">
        <f>Table1[[#This Row],[Code]]&amp;" "&amp;Table1[[#This Row],[Portico_Specialty]]</f>
        <v>207KI0005X Allergy &amp; Immunology: Clinical &amp; Laboratory Immunology</v>
      </c>
      <c r="C9" s="21" t="str">
        <f>CLEAN(Table1[[#This Row],[Code]])</f>
        <v>207KI0005X</v>
      </c>
      <c r="D9" s="1" t="s">
        <v>562</v>
      </c>
      <c r="E9" s="1"/>
      <c r="F9" s="1" t="s">
        <v>2587</v>
      </c>
      <c r="G9" s="4" t="s">
        <v>2593</v>
      </c>
      <c r="H9" s="1" t="s">
        <v>2597</v>
      </c>
      <c r="I9" s="1"/>
      <c r="J9" s="1" t="s">
        <v>2597</v>
      </c>
      <c r="K9" s="1" t="s">
        <v>2597</v>
      </c>
      <c r="L9" s="1" t="s">
        <v>2597</v>
      </c>
      <c r="M9" s="1" t="s">
        <v>2597</v>
      </c>
      <c r="N9" s="1" t="s">
        <v>2597</v>
      </c>
      <c r="O9" s="1" t="s">
        <v>2597</v>
      </c>
      <c r="P9" s="9"/>
      <c r="R9" s="16">
        <f ca="1">IF(ISNUMBER(SEARCH(INDIRECT(CELL("address")),S9)),MAX($R$1:R8)+1,0)</f>
        <v>8</v>
      </c>
      <c r="S9" s="18" t="str">
        <f>Table1[[#This Row],[Portico_Specialty]]&amp;"-"&amp;Table1[[#This Row],[Code]]</f>
        <v>Allergy &amp; Immunology: Clinical &amp; Laboratory Immunology-207KI0005X</v>
      </c>
      <c r="U9" s="16" t="str">
        <f ca="1">IFERROR(VLOOKUP(ROWS($U$1:U8),$R$2:$S$918,2,FALSE),"")</f>
        <v>Allergy &amp; Immunology: Clinical &amp; Laboratory Immunology-207KI0005X</v>
      </c>
    </row>
    <row r="10" spans="1:33" x14ac:dyDescent="0.3">
      <c r="A10" s="21" t="s">
        <v>1555</v>
      </c>
      <c r="B10" s="21" t="str">
        <f>Table1[[#This Row],[Code]]&amp;" "&amp;Table1[[#This Row],[Portico_Specialty]]</f>
        <v>311500000X Alzheimer Center (Dementia Center)</v>
      </c>
      <c r="C10" s="21" t="str">
        <f>CLEAN(Table1[[#This Row],[Code]])</f>
        <v>311500000X</v>
      </c>
      <c r="D10" s="1" t="s">
        <v>1556</v>
      </c>
      <c r="E10" s="1"/>
      <c r="F10" s="1" t="s">
        <v>2587</v>
      </c>
      <c r="G10" s="3" t="s">
        <v>2588</v>
      </c>
      <c r="H10" s="1" t="s">
        <v>2598</v>
      </c>
      <c r="I10" s="1"/>
      <c r="J10" s="1" t="s">
        <v>2598</v>
      </c>
      <c r="K10" s="1" t="s">
        <v>2598</v>
      </c>
      <c r="L10" s="1" t="s">
        <v>2598</v>
      </c>
      <c r="M10" s="1" t="s">
        <v>2598</v>
      </c>
      <c r="N10" s="1" t="s">
        <v>2599</v>
      </c>
      <c r="O10" s="1" t="s">
        <v>2598</v>
      </c>
      <c r="P10" s="9"/>
      <c r="R10" s="16">
        <f ca="1">IF(ISNUMBER(SEARCH(INDIRECT(CELL("address")),S10)),MAX($R$1:R9)+1,0)</f>
        <v>9</v>
      </c>
      <c r="S10" s="18" t="str">
        <f>Table1[[#This Row],[Portico_Specialty]]&amp;"-"&amp;Table1[[#This Row],[Code]]</f>
        <v>Alzheimer Center (Dementia Center)-311500000X</v>
      </c>
      <c r="U10" s="16" t="str">
        <f ca="1">IFERROR(VLOOKUP(ROWS($U$1:U9),$R$2:$S$918,2,FALSE),"")</f>
        <v>Alzheimer Center (Dementia Center)-311500000X</v>
      </c>
    </row>
    <row r="11" spans="1:33" x14ac:dyDescent="0.3">
      <c r="A11" s="21" t="s">
        <v>1651</v>
      </c>
      <c r="B11" s="21" t="str">
        <f>Table1[[#This Row],[Code]]&amp;" "&amp;Table1[[#This Row],[Portico_Specialty]]</f>
        <v>341600000X Ambulance</v>
      </c>
      <c r="C11" s="21" t="str">
        <f>CLEAN(Table1[[#This Row],[Code]])</f>
        <v>341600000X</v>
      </c>
      <c r="D11" s="1" t="s">
        <v>1652</v>
      </c>
      <c r="E11" s="1"/>
      <c r="F11" s="1" t="s">
        <v>2587</v>
      </c>
      <c r="G11" s="4" t="s">
        <v>2593</v>
      </c>
      <c r="H11" s="1" t="s">
        <v>2596</v>
      </c>
      <c r="I11" s="1"/>
      <c r="J11" s="1" t="s">
        <v>2596</v>
      </c>
      <c r="K11" s="1" t="s">
        <v>2596</v>
      </c>
      <c r="L11" s="1" t="s">
        <v>2596</v>
      </c>
      <c r="M11" s="1" t="s">
        <v>2596</v>
      </c>
      <c r="N11" s="1" t="s">
        <v>2596</v>
      </c>
      <c r="O11" s="1" t="s">
        <v>2596</v>
      </c>
      <c r="P11" s="9"/>
      <c r="R11" s="16">
        <f ca="1">IF(ISNUMBER(SEARCH(INDIRECT(CELL("address")),S11)),MAX($R$1:R10)+1,0)</f>
        <v>10</v>
      </c>
      <c r="S11" s="18" t="str">
        <f>Table1[[#This Row],[Portico_Specialty]]&amp;"-"&amp;Table1[[#This Row],[Code]]</f>
        <v>Ambulance-341600000X</v>
      </c>
      <c r="U11" s="16" t="str">
        <f ca="1">IFERROR(VLOOKUP(ROWS($U$1:U10),$R$2:$S$918,2,FALSE),"")</f>
        <v>Ambulance-341600000X</v>
      </c>
    </row>
    <row r="12" spans="1:33" x14ac:dyDescent="0.3">
      <c r="A12" s="21" t="s">
        <v>1653</v>
      </c>
      <c r="B12" s="21" t="str">
        <f>Table1[[#This Row],[Code]]&amp;" "&amp;Table1[[#This Row],[Portico_Specialty]]</f>
        <v>3416A0800X Ambulance: Air Transport</v>
      </c>
      <c r="C12" s="21" t="str">
        <f>CLEAN(Table1[[#This Row],[Code]])</f>
        <v>3416A0800X</v>
      </c>
      <c r="D12" s="1" t="s">
        <v>1654</v>
      </c>
      <c r="E12" s="1"/>
      <c r="F12" s="1" t="s">
        <v>2587</v>
      </c>
      <c r="G12" s="4" t="s">
        <v>2593</v>
      </c>
      <c r="H12" s="1" t="s">
        <v>2596</v>
      </c>
      <c r="I12" s="1"/>
      <c r="J12" s="1" t="s">
        <v>2596</v>
      </c>
      <c r="K12" s="1" t="s">
        <v>2596</v>
      </c>
      <c r="L12" s="1" t="s">
        <v>2596</v>
      </c>
      <c r="M12" s="1" t="s">
        <v>2596</v>
      </c>
      <c r="N12" s="1" t="s">
        <v>2596</v>
      </c>
      <c r="O12" s="1" t="s">
        <v>2596</v>
      </c>
      <c r="P12" s="9"/>
      <c r="R12" s="16">
        <f ca="1">IF(ISNUMBER(SEARCH(INDIRECT(CELL("address")),S12)),MAX($R$1:R11)+1,0)</f>
        <v>11</v>
      </c>
      <c r="S12" s="18" t="str">
        <f>Table1[[#This Row],[Portico_Specialty]]&amp;"-"&amp;Table1[[#This Row],[Code]]</f>
        <v>Ambulance: Air Transport-3416A0800X</v>
      </c>
      <c r="U12" s="16" t="str">
        <f ca="1">IFERROR(VLOOKUP(ROWS($U$1:U11),$R$2:$S$918,2,FALSE),"")</f>
        <v>Ambulance: Air Transport-3416A0800X</v>
      </c>
    </row>
    <row r="13" spans="1:33" x14ac:dyDescent="0.3">
      <c r="A13" s="21" t="s">
        <v>1655</v>
      </c>
      <c r="B13" s="21" t="str">
        <f>Table1[[#This Row],[Code]]&amp;" "&amp;Table1[[#This Row],[Portico_Specialty]]</f>
        <v>3416L0300X Ambulance: Land Transport</v>
      </c>
      <c r="C13" s="21" t="str">
        <f>CLEAN(Table1[[#This Row],[Code]])</f>
        <v>3416L0300X</v>
      </c>
      <c r="D13" s="1" t="s">
        <v>1656</v>
      </c>
      <c r="E13" s="1"/>
      <c r="F13" s="1" t="s">
        <v>2587</v>
      </c>
      <c r="G13" s="4" t="s">
        <v>2593</v>
      </c>
      <c r="H13" s="1" t="s">
        <v>2596</v>
      </c>
      <c r="I13" s="1"/>
      <c r="J13" s="1" t="s">
        <v>2596</v>
      </c>
      <c r="K13" s="1" t="s">
        <v>2596</v>
      </c>
      <c r="L13" s="1" t="s">
        <v>2596</v>
      </c>
      <c r="M13" s="1" t="s">
        <v>2596</v>
      </c>
      <c r="N13" s="1" t="s">
        <v>2596</v>
      </c>
      <c r="O13" s="1" t="s">
        <v>2596</v>
      </c>
      <c r="P13" s="9"/>
      <c r="R13" s="16">
        <f ca="1">IF(ISNUMBER(SEARCH(INDIRECT(CELL("address")),S13)),MAX($R$1:R12)+1,0)</f>
        <v>12</v>
      </c>
      <c r="S13" s="18" t="str">
        <f>Table1[[#This Row],[Portico_Specialty]]&amp;"-"&amp;Table1[[#This Row],[Code]]</f>
        <v>Ambulance: Land Transport-3416L0300X</v>
      </c>
      <c r="U13" s="16" t="str">
        <f ca="1">IFERROR(VLOOKUP(ROWS($U$1:U12),$R$2:$S$918,2,FALSE),"")</f>
        <v>Ambulance: Land Transport-3416L0300X</v>
      </c>
    </row>
    <row r="14" spans="1:33" x14ac:dyDescent="0.3">
      <c r="A14" s="21" t="s">
        <v>1657</v>
      </c>
      <c r="B14" s="21" t="str">
        <f>Table1[[#This Row],[Code]]&amp;" "&amp;Table1[[#This Row],[Portico_Specialty]]</f>
        <v>3416S0300X Ambulance: Water Transport</v>
      </c>
      <c r="C14" s="21" t="str">
        <f>CLEAN(Table1[[#This Row],[Code]])</f>
        <v>3416S0300X</v>
      </c>
      <c r="D14" s="1" t="s">
        <v>1658</v>
      </c>
      <c r="E14" s="1"/>
      <c r="F14" s="1" t="s">
        <v>2587</v>
      </c>
      <c r="G14" s="4" t="s">
        <v>2593</v>
      </c>
      <c r="H14" s="1" t="s">
        <v>2596</v>
      </c>
      <c r="I14" s="1"/>
      <c r="J14" s="1" t="s">
        <v>2596</v>
      </c>
      <c r="K14" s="1" t="s">
        <v>2596</v>
      </c>
      <c r="L14" s="1" t="s">
        <v>2596</v>
      </c>
      <c r="M14" s="1" t="s">
        <v>2596</v>
      </c>
      <c r="N14" s="1" t="s">
        <v>2596</v>
      </c>
      <c r="O14" s="1" t="s">
        <v>2596</v>
      </c>
      <c r="P14" s="9"/>
      <c r="Q14" s="1"/>
      <c r="R14" s="16">
        <f ca="1">IF(ISNUMBER(SEARCH(INDIRECT(CELL("address")),S14)),MAX($R$1:R13)+1,0)</f>
        <v>13</v>
      </c>
      <c r="S14" s="18" t="str">
        <f>Table1[[#This Row],[Portico_Specialty]]&amp;"-"&amp;Table1[[#This Row],[Code]]</f>
        <v>Ambulance: Water Transport-3416S0300X</v>
      </c>
      <c r="T14" s="18"/>
      <c r="U14" s="16" t="str">
        <f ca="1">IFERROR(VLOOKUP(ROWS($U$1:U13),$R$2:$S$918,2,FALSE),"")</f>
        <v>Ambulance: Water Transport-3416S0300X</v>
      </c>
      <c r="V14" s="18"/>
      <c r="W14" s="1"/>
      <c r="X14" s="1"/>
    </row>
    <row r="15" spans="1:33" x14ac:dyDescent="0.3">
      <c r="A15" s="21" t="s">
        <v>1177</v>
      </c>
      <c r="B15" s="21" t="str">
        <f>Table1[[#This Row],[Code]]&amp;" "&amp;Table1[[#This Row],[Portico_Specialty]]</f>
        <v>229N00000X Anaplastologist</v>
      </c>
      <c r="C15" s="21" t="str">
        <f>CLEAN(Table1[[#This Row],[Code]])</f>
        <v>229N00000X</v>
      </c>
      <c r="D15" s="1" t="s">
        <v>1178</v>
      </c>
      <c r="E15" s="1"/>
      <c r="F15" s="1" t="s">
        <v>2587</v>
      </c>
      <c r="G15" s="4" t="s">
        <v>2593</v>
      </c>
      <c r="H15" s="1" t="s">
        <v>2600</v>
      </c>
      <c r="I15" s="1"/>
      <c r="J15" s="1" t="s">
        <v>2600</v>
      </c>
      <c r="K15" s="1" t="s">
        <v>2601</v>
      </c>
      <c r="L15" s="1" t="s">
        <v>2600</v>
      </c>
      <c r="M15" s="1" t="s">
        <v>2600</v>
      </c>
      <c r="N15" s="1" t="s">
        <v>2600</v>
      </c>
      <c r="O15" s="1" t="s">
        <v>2601</v>
      </c>
      <c r="P15" s="9"/>
      <c r="R15" s="16">
        <f ca="1">IF(ISNUMBER(SEARCH(INDIRECT(CELL("address")),S15)),MAX($R$1:R14)+1,0)</f>
        <v>14</v>
      </c>
      <c r="S15" s="18" t="str">
        <f>Table1[[#This Row],[Portico_Specialty]]&amp;"-"&amp;Table1[[#This Row],[Code]]</f>
        <v>Anaplastologist-229N00000X</v>
      </c>
      <c r="U15" s="16" t="str">
        <f ca="1">IFERROR(VLOOKUP(ROWS($U$1:U14),$R$2:$S$918,2,FALSE),"")</f>
        <v>Anaplastologist-229N00000X</v>
      </c>
    </row>
    <row r="16" spans="1:33" x14ac:dyDescent="0.3">
      <c r="A16" s="21" t="s">
        <v>1799</v>
      </c>
      <c r="B16" s="21" t="str">
        <f>Table1[[#This Row],[Code]]&amp;" "&amp;Table1[[#This Row],[Portico_Specialty]]</f>
        <v>367H00000X Anesthesiologist Assistant</v>
      </c>
      <c r="C16" s="21" t="str">
        <f>CLEAN(Table1[[#This Row],[Code]])</f>
        <v>367H00000X</v>
      </c>
      <c r="D16" s="1" t="s">
        <v>1800</v>
      </c>
      <c r="E16" s="1"/>
      <c r="F16" s="1" t="s">
        <v>2587</v>
      </c>
      <c r="G16" s="4" t="s">
        <v>2593</v>
      </c>
      <c r="H16" s="1" t="s">
        <v>2602</v>
      </c>
      <c r="I16" s="1"/>
      <c r="J16" s="1" t="s">
        <v>2602</v>
      </c>
      <c r="K16" s="1" t="s">
        <v>2603</v>
      </c>
      <c r="L16" s="1" t="s">
        <v>2602</v>
      </c>
      <c r="M16" s="1" t="s">
        <v>2602</v>
      </c>
      <c r="N16" s="1" t="s">
        <v>2602</v>
      </c>
      <c r="O16" s="1" t="s">
        <v>2603</v>
      </c>
      <c r="P16" s="9"/>
      <c r="R16" s="16">
        <f ca="1">IF(ISNUMBER(SEARCH(INDIRECT(CELL("address")),S16)),MAX($R$1:R15)+1,0)</f>
        <v>15</v>
      </c>
      <c r="S16" s="18" t="str">
        <f>Table1[[#This Row],[Portico_Specialty]]&amp;"-"&amp;Table1[[#This Row],[Code]]</f>
        <v>Anesthesiologist Assistant-367H00000X</v>
      </c>
      <c r="U16" s="16" t="str">
        <f ca="1">IFERROR(VLOOKUP(ROWS($U$1:U15),$R$2:$S$918,2,FALSE),"")</f>
        <v>Anesthesiologist Assistant-367H00000X</v>
      </c>
    </row>
    <row r="17" spans="1:21" x14ac:dyDescent="0.3">
      <c r="A17" s="21" t="s">
        <v>563</v>
      </c>
      <c r="B17" s="21" t="str">
        <f>Table1[[#This Row],[Code]]&amp;" "&amp;Table1[[#This Row],[Portico_Specialty]]</f>
        <v>207L00000X Anesthesiology</v>
      </c>
      <c r="C17" s="21" t="str">
        <f>CLEAN(Table1[[#This Row],[Code]])</f>
        <v>207L00000X</v>
      </c>
      <c r="D17" s="1" t="s">
        <v>564</v>
      </c>
      <c r="E17" s="1"/>
      <c r="F17" s="1" t="s">
        <v>2587</v>
      </c>
      <c r="G17" s="4" t="s">
        <v>2593</v>
      </c>
      <c r="H17" s="1" t="s">
        <v>2604</v>
      </c>
      <c r="I17" s="1"/>
      <c r="J17" s="1" t="s">
        <v>2604</v>
      </c>
      <c r="K17" s="1" t="s">
        <v>2604</v>
      </c>
      <c r="L17" s="1" t="s">
        <v>2604</v>
      </c>
      <c r="M17" s="1" t="s">
        <v>2604</v>
      </c>
      <c r="N17" s="1" t="s">
        <v>2604</v>
      </c>
      <c r="O17" s="1" t="s">
        <v>2604</v>
      </c>
      <c r="P17" s="9"/>
      <c r="R17" s="16">
        <f ca="1">IF(ISNUMBER(SEARCH(INDIRECT(CELL("address")),S17)),MAX($R$1:R16)+1,0)</f>
        <v>16</v>
      </c>
      <c r="S17" s="18" t="str">
        <f>Table1[[#This Row],[Portico_Specialty]]&amp;"-"&amp;Table1[[#This Row],[Code]]</f>
        <v>Anesthesiology-207L00000X</v>
      </c>
      <c r="U17" s="16" t="str">
        <f ca="1">IFERROR(VLOOKUP(ROWS($U$1:U16),$R$2:$S$918,2,FALSE),"")</f>
        <v>Anesthesiology-207L00000X</v>
      </c>
    </row>
    <row r="18" spans="1:21" x14ac:dyDescent="0.3">
      <c r="A18" s="21" t="s">
        <v>565</v>
      </c>
      <c r="B18" s="21" t="str">
        <f>Table1[[#This Row],[Code]]&amp;" "&amp;Table1[[#This Row],[Portico_Specialty]]</f>
        <v>207LA0401X Anesthesiology: Addiction Medicine</v>
      </c>
      <c r="C18" s="21" t="str">
        <f>CLEAN(Table1[[#This Row],[Code]])</f>
        <v>207LA0401X</v>
      </c>
      <c r="D18" s="1" t="s">
        <v>566</v>
      </c>
      <c r="E18" s="1"/>
      <c r="F18" s="1" t="s">
        <v>2587</v>
      </c>
      <c r="G18" s="4" t="s">
        <v>2593</v>
      </c>
      <c r="H18" s="1" t="s">
        <v>2604</v>
      </c>
      <c r="I18" s="1"/>
      <c r="J18" s="1" t="s">
        <v>2604</v>
      </c>
      <c r="K18" s="1" t="s">
        <v>2605</v>
      </c>
      <c r="L18" s="1" t="s">
        <v>2604</v>
      </c>
      <c r="M18" s="1" t="s">
        <v>2604</v>
      </c>
      <c r="N18" s="1" t="s">
        <v>2604</v>
      </c>
      <c r="O18" s="1" t="s">
        <v>2605</v>
      </c>
      <c r="P18" s="9"/>
      <c r="R18" s="16">
        <f ca="1">IF(ISNUMBER(SEARCH(INDIRECT(CELL("address")),S18)),MAX($R$1:R17)+1,0)</f>
        <v>17</v>
      </c>
      <c r="S18" s="18" t="str">
        <f>Table1[[#This Row],[Portico_Specialty]]&amp;"-"&amp;Table1[[#This Row],[Code]]</f>
        <v>Anesthesiology: Addiction Medicine-207LA0401X</v>
      </c>
      <c r="U18" s="16" t="str">
        <f ca="1">IFERROR(VLOOKUP(ROWS($U$1:U17),$R$2:$S$918,2,FALSE),"")</f>
        <v>Anesthesiology: Addiction Medicine-207LA0401X</v>
      </c>
    </row>
    <row r="19" spans="1:21" x14ac:dyDescent="0.3">
      <c r="A19" s="21" t="s">
        <v>567</v>
      </c>
      <c r="B19" s="21" t="str">
        <f>Table1[[#This Row],[Code]]&amp;" "&amp;Table1[[#This Row],[Portico_Specialty]]</f>
        <v>207LC0200X Anesthesiology: Critical Care Medicine</v>
      </c>
      <c r="C19" s="21" t="str">
        <f>CLEAN(Table1[[#This Row],[Code]])</f>
        <v>207LC0200X</v>
      </c>
      <c r="D19" s="1" t="s">
        <v>568</v>
      </c>
      <c r="E19" s="1"/>
      <c r="F19" s="1" t="s">
        <v>2587</v>
      </c>
      <c r="G19" s="4" t="s">
        <v>2593</v>
      </c>
      <c r="H19" s="1" t="s">
        <v>2604</v>
      </c>
      <c r="I19" s="1"/>
      <c r="J19" s="1" t="s">
        <v>2604</v>
      </c>
      <c r="K19" s="1" t="s">
        <v>2604</v>
      </c>
      <c r="L19" s="1" t="s">
        <v>2604</v>
      </c>
      <c r="M19" s="1" t="s">
        <v>2604</v>
      </c>
      <c r="N19" s="1" t="s">
        <v>2604</v>
      </c>
      <c r="O19" s="1" t="s">
        <v>2604</v>
      </c>
      <c r="P19" s="9"/>
      <c r="R19" s="16">
        <f ca="1">IF(ISNUMBER(SEARCH(INDIRECT(CELL("address")),S19)),MAX($R$1:R18)+1,0)</f>
        <v>18</v>
      </c>
      <c r="S19" s="18" t="str">
        <f>Table1[[#This Row],[Portico_Specialty]]&amp;"-"&amp;Table1[[#This Row],[Code]]</f>
        <v>Anesthesiology: Critical Care Medicine-207LC0200X</v>
      </c>
      <c r="U19" s="16" t="str">
        <f ca="1">IFERROR(VLOOKUP(ROWS($U$1:U18),$R$2:$S$918,2,FALSE),"")</f>
        <v>Anesthesiology: Critical Care Medicine-207LC0200X</v>
      </c>
    </row>
    <row r="20" spans="1:21" ht="30.75" x14ac:dyDescent="0.3">
      <c r="A20" s="21" t="s">
        <v>569</v>
      </c>
      <c r="B20" s="21" t="str">
        <f>Table1[[#This Row],[Code]]&amp;" "&amp;Table1[[#This Row],[Portico_Specialty]]</f>
        <v>207LH0002X Anesthesiology: Hospice and Palliative Medicine</v>
      </c>
      <c r="C20" s="21" t="str">
        <f>CLEAN(Table1[[#This Row],[Code]])</f>
        <v>207LH0002X</v>
      </c>
      <c r="D20" s="1" t="s">
        <v>570</v>
      </c>
      <c r="E20" s="1"/>
      <c r="F20" s="1" t="s">
        <v>2587</v>
      </c>
      <c r="G20" s="4" t="s">
        <v>2593</v>
      </c>
      <c r="H20" s="1" t="s">
        <v>2604</v>
      </c>
      <c r="I20" s="1"/>
      <c r="J20" s="1" t="s">
        <v>2604</v>
      </c>
      <c r="K20" s="1" t="s">
        <v>2604</v>
      </c>
      <c r="L20" s="1" t="s">
        <v>2604</v>
      </c>
      <c r="M20" s="1" t="s">
        <v>2604</v>
      </c>
      <c r="N20" s="1" t="s">
        <v>2604</v>
      </c>
      <c r="O20" s="1" t="s">
        <v>2604</v>
      </c>
      <c r="P20" s="9"/>
      <c r="R20" s="16">
        <f ca="1">IF(ISNUMBER(SEARCH(INDIRECT(CELL("address")),S20)),MAX($R$1:R19)+1,0)</f>
        <v>19</v>
      </c>
      <c r="S20" s="18" t="str">
        <f>Table1[[#This Row],[Portico_Specialty]]&amp;"-"&amp;Table1[[#This Row],[Code]]</f>
        <v>Anesthesiology: Hospice and Palliative Medicine-207LH0002X</v>
      </c>
      <c r="U20" s="16" t="str">
        <f ca="1">IFERROR(VLOOKUP(ROWS($U$1:U19),$R$2:$S$918,2,FALSE),"")</f>
        <v>Anesthesiology: Hospice and Palliative Medicine-207LH0002X</v>
      </c>
    </row>
    <row r="21" spans="1:21" x14ac:dyDescent="0.3">
      <c r="A21" s="21" t="s">
        <v>571</v>
      </c>
      <c r="B21" s="21" t="str">
        <f>Table1[[#This Row],[Code]]&amp;" "&amp;Table1[[#This Row],[Portico_Specialty]]</f>
        <v>207LP2900X Anesthesiology: Pain Medicine</v>
      </c>
      <c r="C21" s="21" t="str">
        <f>CLEAN(Table1[[#This Row],[Code]])</f>
        <v>207LP2900X</v>
      </c>
      <c r="D21" s="1" t="s">
        <v>572</v>
      </c>
      <c r="E21" s="1"/>
      <c r="F21" s="1" t="s">
        <v>2587</v>
      </c>
      <c r="G21" s="4" t="s">
        <v>2593</v>
      </c>
      <c r="H21" s="1" t="s">
        <v>2606</v>
      </c>
      <c r="I21" s="1"/>
      <c r="J21" s="1" t="s">
        <v>2606</v>
      </c>
      <c r="K21" s="1" t="s">
        <v>2604</v>
      </c>
      <c r="L21" s="1" t="s">
        <v>2606</v>
      </c>
      <c r="M21" s="1" t="s">
        <v>2606</v>
      </c>
      <c r="N21" s="1" t="s">
        <v>2606</v>
      </c>
      <c r="O21" s="1" t="s">
        <v>2604</v>
      </c>
      <c r="P21" s="9"/>
      <c r="R21" s="16">
        <f ca="1">IF(ISNUMBER(SEARCH(INDIRECT(CELL("address")),S21)),MAX($R$1:R20)+1,0)</f>
        <v>20</v>
      </c>
      <c r="S21" s="18" t="str">
        <f>Table1[[#This Row],[Portico_Specialty]]&amp;"-"&amp;Table1[[#This Row],[Code]]</f>
        <v>Anesthesiology: Pain Medicine-207LP2900X</v>
      </c>
      <c r="U21" s="16" t="str">
        <f ca="1">IFERROR(VLOOKUP(ROWS($U$1:U20),$R$2:$S$918,2,FALSE),"")</f>
        <v>Anesthesiology: Pain Medicine-207LP2900X</v>
      </c>
    </row>
    <row r="22" spans="1:21" x14ac:dyDescent="0.3">
      <c r="A22" s="21" t="s">
        <v>573</v>
      </c>
      <c r="B22" s="21" t="str">
        <f>Table1[[#This Row],[Code]]&amp;" "&amp;Table1[[#This Row],[Portico_Specialty]]</f>
        <v>207LP3000X Anesthesiology: Pediatric Anesthesiology</v>
      </c>
      <c r="C22" s="21" t="str">
        <f>CLEAN(Table1[[#This Row],[Code]])</f>
        <v>207LP3000X</v>
      </c>
      <c r="D22" s="1" t="s">
        <v>574</v>
      </c>
      <c r="E22" s="1"/>
      <c r="F22" s="1" t="s">
        <v>2587</v>
      </c>
      <c r="G22" s="4" t="s">
        <v>2593</v>
      </c>
      <c r="H22" s="1" t="s">
        <v>2604</v>
      </c>
      <c r="I22" s="1"/>
      <c r="J22" s="1" t="s">
        <v>2604</v>
      </c>
      <c r="K22" s="1" t="s">
        <v>2604</v>
      </c>
      <c r="L22" s="1" t="s">
        <v>2604</v>
      </c>
      <c r="M22" s="1" t="s">
        <v>2604</v>
      </c>
      <c r="N22" s="1" t="s">
        <v>2604</v>
      </c>
      <c r="O22" s="1" t="s">
        <v>2604</v>
      </c>
      <c r="P22" s="9"/>
      <c r="R22" s="16">
        <f ca="1">IF(ISNUMBER(SEARCH(INDIRECT(CELL("address")),S22)),MAX($R$1:R21)+1,0)</f>
        <v>21</v>
      </c>
      <c r="S22" s="18" t="str">
        <f>Table1[[#This Row],[Portico_Specialty]]&amp;"-"&amp;Table1[[#This Row],[Code]]</f>
        <v>Anesthesiology: Pediatric Anesthesiology-207LP3000X</v>
      </c>
      <c r="U22" s="16" t="str">
        <f ca="1">IFERROR(VLOOKUP(ROWS($U$1:U21),$R$2:$S$918,2,FALSE),"")</f>
        <v>Anesthesiology: Pediatric Anesthesiology-207LP3000X</v>
      </c>
    </row>
    <row r="23" spans="1:21" x14ac:dyDescent="0.3">
      <c r="A23" s="21" t="s">
        <v>1015</v>
      </c>
      <c r="B23" s="21" t="str">
        <f>Table1[[#This Row],[Code]]&amp;" "&amp;Table1[[#This Row],[Portico_Specialty]]</f>
        <v>221700000X Art Therapist</v>
      </c>
      <c r="C23" s="21" t="str">
        <f>CLEAN(Table1[[#This Row],[Code]])</f>
        <v>221700000X</v>
      </c>
      <c r="D23" s="1" t="s">
        <v>1016</v>
      </c>
      <c r="E23" s="1"/>
      <c r="F23" s="1" t="s">
        <v>2587</v>
      </c>
      <c r="G23" s="3" t="s">
        <v>2588</v>
      </c>
      <c r="H23" s="1" t="s">
        <v>2600</v>
      </c>
      <c r="I23" s="1"/>
      <c r="J23" s="1" t="s">
        <v>2600</v>
      </c>
      <c r="K23" s="1" t="s">
        <v>2600</v>
      </c>
      <c r="L23" s="1" t="s">
        <v>2600</v>
      </c>
      <c r="M23" s="1" t="s">
        <v>2600</v>
      </c>
      <c r="N23" s="1" t="s">
        <v>2600</v>
      </c>
      <c r="O23" s="1" t="s">
        <v>2600</v>
      </c>
      <c r="P23" s="9"/>
      <c r="R23" s="16">
        <f ca="1">IF(ISNUMBER(SEARCH(INDIRECT(CELL("address")),S23)),MAX($R$1:R22)+1,0)</f>
        <v>22</v>
      </c>
      <c r="S23" s="18" t="str">
        <f>Table1[[#This Row],[Portico_Specialty]]&amp;"-"&amp;Table1[[#This Row],[Code]]</f>
        <v>Art Therapist-221700000X</v>
      </c>
      <c r="U23" s="16" t="str">
        <f ca="1">IFERROR(VLOOKUP(ROWS($U$1:U22),$R$2:$S$918,2,FALSE),"")</f>
        <v>Art Therapist-221700000X</v>
      </c>
    </row>
    <row r="24" spans="1:21" x14ac:dyDescent="0.3">
      <c r="A24" s="21" t="s">
        <v>194</v>
      </c>
      <c r="B24" s="21" t="str">
        <f>Table1[[#This Row],[Code]]&amp;" "&amp;Table1[[#This Row],[Portico_Specialty]]</f>
        <v>106E00000X Assistant Behavior Analyst</v>
      </c>
      <c r="C24" s="21" t="str">
        <f>CLEAN(Table1[[#This Row],[Code]])</f>
        <v>106E00000X</v>
      </c>
      <c r="D24" s="1" t="s">
        <v>195</v>
      </c>
      <c r="E24" s="1"/>
      <c r="F24" s="1" t="s">
        <v>2607</v>
      </c>
      <c r="G24" s="4" t="s">
        <v>2593</v>
      </c>
      <c r="H24" s="1"/>
      <c r="I24" s="1"/>
      <c r="J24" s="1" t="s">
        <v>2608</v>
      </c>
      <c r="K24" s="1" t="s">
        <v>2608</v>
      </c>
      <c r="L24" s="1"/>
      <c r="M24" s="1"/>
      <c r="N24" s="1"/>
      <c r="O24" s="1" t="s">
        <v>2608</v>
      </c>
      <c r="P24" s="9"/>
      <c r="R24" s="16">
        <f ca="1">IF(ISNUMBER(SEARCH(INDIRECT(CELL("address")),S24)),MAX($R$1:R23)+1,0)</f>
        <v>23</v>
      </c>
      <c r="S24" s="18" t="str">
        <f>Table1[[#This Row],[Portico_Specialty]]&amp;"-"&amp;Table1[[#This Row],[Code]]</f>
        <v>Assistant Behavior Analyst-106E00000X</v>
      </c>
      <c r="U24" s="16" t="str">
        <f ca="1">IFERROR(VLOOKUP(ROWS($U$1:U23),$R$2:$S$918,2,FALSE),"")</f>
        <v>Assistant Behavior Analyst-106E00000X</v>
      </c>
    </row>
    <row r="25" spans="1:21" x14ac:dyDescent="0.3">
      <c r="A25" s="21" t="s">
        <v>997</v>
      </c>
      <c r="B25" s="21" t="str">
        <f>Table1[[#This Row],[Code]]&amp;" "&amp;Table1[[#This Row],[Portico_Specialty]]</f>
        <v>211D00000X Assistant, Podiatric</v>
      </c>
      <c r="C25" s="21" t="str">
        <f>CLEAN(Table1[[#This Row],[Code]])</f>
        <v>211D00000X</v>
      </c>
      <c r="D25" s="1" t="s">
        <v>998</v>
      </c>
      <c r="E25" s="1"/>
      <c r="F25" s="1" t="s">
        <v>2587</v>
      </c>
      <c r="G25" s="3" t="s">
        <v>2588</v>
      </c>
      <c r="H25" s="1"/>
      <c r="I25" s="1"/>
      <c r="J25" s="1" t="s">
        <v>2590</v>
      </c>
      <c r="K25" s="1" t="s">
        <v>2609</v>
      </c>
      <c r="L25" s="1"/>
      <c r="M25" s="1"/>
      <c r="N25" s="1" t="s">
        <v>2610</v>
      </c>
      <c r="O25" s="1" t="s">
        <v>2609</v>
      </c>
      <c r="P25" s="9"/>
      <c r="R25" s="16">
        <f ca="1">IF(ISNUMBER(SEARCH(INDIRECT(CELL("address")),S25)),MAX($R$1:R24)+1,0)</f>
        <v>24</v>
      </c>
      <c r="S25" s="18" t="str">
        <f>Table1[[#This Row],[Portico_Specialty]]&amp;"-"&amp;Table1[[#This Row],[Code]]</f>
        <v>Assistant, Podiatric-211D00000X</v>
      </c>
      <c r="U25" s="16" t="str">
        <f ca="1">IFERROR(VLOOKUP(ROWS($U$1:U24),$R$2:$S$918,2,FALSE),"")</f>
        <v>Assistant, Podiatric-211D00000X</v>
      </c>
    </row>
    <row r="26" spans="1:21" x14ac:dyDescent="0.3">
      <c r="A26" s="21" t="s">
        <v>1547</v>
      </c>
      <c r="B26" s="21" t="str">
        <f>Table1[[#This Row],[Code]]&amp;" "&amp;Table1[[#This Row],[Portico_Specialty]]</f>
        <v>310400000X Assisted Living Facility</v>
      </c>
      <c r="C26" s="21" t="str">
        <f>CLEAN(Table1[[#This Row],[Code]])</f>
        <v>310400000X</v>
      </c>
      <c r="D26" s="1" t="s">
        <v>1548</v>
      </c>
      <c r="E26" s="1"/>
      <c r="F26" s="1" t="s">
        <v>2587</v>
      </c>
      <c r="G26" s="3" t="s">
        <v>2588</v>
      </c>
      <c r="H26" s="1" t="s">
        <v>2598</v>
      </c>
      <c r="I26" s="1"/>
      <c r="J26" s="1" t="s">
        <v>2598</v>
      </c>
      <c r="K26" s="1" t="s">
        <v>2598</v>
      </c>
      <c r="L26" s="1" t="s">
        <v>2598</v>
      </c>
      <c r="M26" s="1" t="s">
        <v>2598</v>
      </c>
      <c r="N26" s="1" t="s">
        <v>2599</v>
      </c>
      <c r="O26" s="1" t="s">
        <v>2598</v>
      </c>
      <c r="P26" s="9"/>
      <c r="R26" s="16">
        <f ca="1">IF(ISNUMBER(SEARCH(INDIRECT(CELL("address")),S26)),MAX($R$1:R25)+1,0)</f>
        <v>25</v>
      </c>
      <c r="S26" s="18" t="str">
        <f>Table1[[#This Row],[Portico_Specialty]]&amp;"-"&amp;Table1[[#This Row],[Code]]</f>
        <v>Assisted Living Facility-310400000X</v>
      </c>
      <c r="U26" s="16" t="str">
        <f ca="1">IFERROR(VLOOKUP(ROWS($U$1:U25),$R$2:$S$918,2,FALSE),"")</f>
        <v>Assisted Living Facility-310400000X</v>
      </c>
    </row>
    <row r="27" spans="1:21" ht="30.75" x14ac:dyDescent="0.3">
      <c r="A27" s="21" t="s">
        <v>1551</v>
      </c>
      <c r="B27" s="21" t="str">
        <f>Table1[[#This Row],[Code]]&amp;" "&amp;Table1[[#This Row],[Portico_Specialty]]</f>
        <v>3104A0630X Assisted Living Facility: Assisted Living, Behavioral Disturbances</v>
      </c>
      <c r="C27" s="21" t="str">
        <f>CLEAN(Table1[[#This Row],[Code]])</f>
        <v>3104A0630X</v>
      </c>
      <c r="D27" s="1" t="s">
        <v>1552</v>
      </c>
      <c r="E27" s="1"/>
      <c r="F27" s="1" t="s">
        <v>2587</v>
      </c>
      <c r="G27" s="3" t="s">
        <v>2588</v>
      </c>
      <c r="H27" s="1" t="s">
        <v>2598</v>
      </c>
      <c r="I27" s="1"/>
      <c r="J27" s="1" t="s">
        <v>2598</v>
      </c>
      <c r="K27" s="1" t="s">
        <v>2598</v>
      </c>
      <c r="L27" s="1" t="s">
        <v>2598</v>
      </c>
      <c r="M27" s="1" t="s">
        <v>2598</v>
      </c>
      <c r="N27" s="1" t="s">
        <v>2599</v>
      </c>
      <c r="O27" s="1" t="s">
        <v>2598</v>
      </c>
      <c r="P27" s="9"/>
      <c r="R27" s="16">
        <f ca="1">IF(ISNUMBER(SEARCH(INDIRECT(CELL("address")),S27)),MAX($R$1:R26)+1,0)</f>
        <v>26</v>
      </c>
      <c r="S27" s="18" t="str">
        <f>Table1[[#This Row],[Portico_Specialty]]&amp;"-"&amp;Table1[[#This Row],[Code]]</f>
        <v>Assisted Living Facility: Assisted Living, Behavioral Disturbances-3104A0630X</v>
      </c>
      <c r="U27" s="16" t="str">
        <f ca="1">IFERROR(VLOOKUP(ROWS($U$1:U26),$R$2:$S$918,2,FALSE),"")</f>
        <v>Assisted Living Facility: Assisted Living, Behavioral Disturbances-3104A0630X</v>
      </c>
    </row>
    <row r="28" spans="1:21" ht="30.75" x14ac:dyDescent="0.3">
      <c r="A28" s="21" t="s">
        <v>1549</v>
      </c>
      <c r="B28" s="21" t="str">
        <f>Table1[[#This Row],[Code]]&amp;" "&amp;Table1[[#This Row],[Portico_Specialty]]</f>
        <v>3104A0625X Assisted Living Facility: Assisted Living, Mental Illness</v>
      </c>
      <c r="C28" s="21" t="str">
        <f>CLEAN(Table1[[#This Row],[Code]])</f>
        <v>3104A0625X</v>
      </c>
      <c r="D28" s="1" t="s">
        <v>1550</v>
      </c>
      <c r="E28" s="1"/>
      <c r="F28" s="1" t="s">
        <v>2587</v>
      </c>
      <c r="G28" s="3" t="s">
        <v>2588</v>
      </c>
      <c r="H28" s="1" t="s">
        <v>2598</v>
      </c>
      <c r="I28" s="1"/>
      <c r="J28" s="1" t="s">
        <v>2598</v>
      </c>
      <c r="K28" s="1" t="s">
        <v>2598</v>
      </c>
      <c r="L28" s="1" t="s">
        <v>2598</v>
      </c>
      <c r="M28" s="1" t="s">
        <v>2598</v>
      </c>
      <c r="N28" s="1" t="s">
        <v>2599</v>
      </c>
      <c r="O28" s="1" t="s">
        <v>2598</v>
      </c>
      <c r="P28" s="9"/>
      <c r="R28" s="16">
        <f ca="1">IF(ISNUMBER(SEARCH(INDIRECT(CELL("address")),S28)),MAX($R$1:R27)+1,0)</f>
        <v>27</v>
      </c>
      <c r="S28" s="18" t="str">
        <f>Table1[[#This Row],[Portico_Specialty]]&amp;"-"&amp;Table1[[#This Row],[Code]]</f>
        <v>Assisted Living Facility: Assisted Living, Mental Illness-3104A0625X</v>
      </c>
      <c r="U28" s="16" t="str">
        <f ca="1">IFERROR(VLOOKUP(ROWS($U$1:U27),$R$2:$S$918,2,FALSE),"")</f>
        <v>Assisted Living Facility: Assisted Living, Mental Illness-3104A0625X</v>
      </c>
    </row>
    <row r="29" spans="1:21" x14ac:dyDescent="0.3">
      <c r="A29" s="21" t="s">
        <v>1179</v>
      </c>
      <c r="B29" s="21" t="str">
        <f>Table1[[#This Row],[Code]]&amp;" "&amp;Table1[[#This Row],[Portico_Specialty]]</f>
        <v>231H00000X Audiologist</v>
      </c>
      <c r="C29" s="21" t="str">
        <f>CLEAN(Table1[[#This Row],[Code]])</f>
        <v>231H00000X</v>
      </c>
      <c r="D29" s="1" t="s">
        <v>1180</v>
      </c>
      <c r="E29" s="1"/>
      <c r="F29" s="1" t="s">
        <v>2587</v>
      </c>
      <c r="G29" s="4" t="s">
        <v>2593</v>
      </c>
      <c r="H29" s="1" t="s">
        <v>2611</v>
      </c>
      <c r="I29" s="1"/>
      <c r="J29" s="1" t="s">
        <v>2611</v>
      </c>
      <c r="K29" s="1" t="s">
        <v>2611</v>
      </c>
      <c r="L29" s="1" t="s">
        <v>2611</v>
      </c>
      <c r="M29" s="1" t="s">
        <v>2611</v>
      </c>
      <c r="N29" s="1" t="s">
        <v>2611</v>
      </c>
      <c r="O29" s="1" t="s">
        <v>2611</v>
      </c>
      <c r="P29" s="9"/>
      <c r="R29" s="16">
        <f ca="1">IF(ISNUMBER(SEARCH(INDIRECT(CELL("address")),S29)),MAX($R$1:R28)+1,0)</f>
        <v>28</v>
      </c>
      <c r="S29" s="18" t="str">
        <f>Table1[[#This Row],[Portico_Specialty]]&amp;"-"&amp;Table1[[#This Row],[Code]]</f>
        <v>Audiologist-231H00000X</v>
      </c>
      <c r="U29" s="16" t="str">
        <f ca="1">IFERROR(VLOOKUP(ROWS($U$1:U28),$R$2:$S$918,2,FALSE),"")</f>
        <v>Audiologist-231H00000X</v>
      </c>
    </row>
    <row r="30" spans="1:21" ht="30.75" x14ac:dyDescent="0.3">
      <c r="A30" s="21" t="s">
        <v>1181</v>
      </c>
      <c r="B30" s="21" t="str">
        <f>Table1[[#This Row],[Code]]&amp;" "&amp;Table1[[#This Row],[Portico_Specialty]]</f>
        <v>231HA2400X Audiologist: Assistive Technology Practitioner</v>
      </c>
      <c r="C30" s="21" t="str">
        <f>CLEAN(Table1[[#This Row],[Code]])</f>
        <v>231HA2400X</v>
      </c>
      <c r="D30" s="1" t="s">
        <v>1182</v>
      </c>
      <c r="E30" s="1"/>
      <c r="F30" s="1" t="s">
        <v>2587</v>
      </c>
      <c r="G30" s="4" t="s">
        <v>2593</v>
      </c>
      <c r="H30" s="1" t="s">
        <v>2611</v>
      </c>
      <c r="I30" s="1"/>
      <c r="J30" s="1" t="s">
        <v>2611</v>
      </c>
      <c r="K30" s="1" t="s">
        <v>2611</v>
      </c>
      <c r="L30" s="1" t="s">
        <v>2611</v>
      </c>
      <c r="M30" s="1" t="s">
        <v>2611</v>
      </c>
      <c r="N30" s="1" t="s">
        <v>2611</v>
      </c>
      <c r="O30" s="1" t="s">
        <v>2611</v>
      </c>
      <c r="P30" s="9"/>
      <c r="R30" s="16">
        <f ca="1">IF(ISNUMBER(SEARCH(INDIRECT(CELL("address")),S30)),MAX($R$1:R29)+1,0)</f>
        <v>29</v>
      </c>
      <c r="S30" s="18" t="str">
        <f>Table1[[#This Row],[Portico_Specialty]]&amp;"-"&amp;Table1[[#This Row],[Code]]</f>
        <v>Audiologist: Assistive Technology Practitioner-231HA2400X</v>
      </c>
      <c r="U30" s="16" t="str">
        <f ca="1">IFERROR(VLOOKUP(ROWS($U$1:U29),$R$2:$S$918,2,FALSE),"")</f>
        <v>Audiologist: Assistive Technology Practitioner-231HA2400X</v>
      </c>
    </row>
    <row r="31" spans="1:21" x14ac:dyDescent="0.3">
      <c r="A31" s="21" t="s">
        <v>1183</v>
      </c>
      <c r="B31" s="21" t="str">
        <f>Table1[[#This Row],[Code]]&amp;" "&amp;Table1[[#This Row],[Portico_Specialty]]</f>
        <v>231HA2500X Audiologist: Assistive Technology Supplier</v>
      </c>
      <c r="C31" s="21" t="str">
        <f>CLEAN(Table1[[#This Row],[Code]])</f>
        <v>231HA2500X</v>
      </c>
      <c r="D31" s="1" t="s">
        <v>1184</v>
      </c>
      <c r="E31" s="1"/>
      <c r="F31" s="1" t="s">
        <v>2587</v>
      </c>
      <c r="G31" s="3" t="s">
        <v>2588</v>
      </c>
      <c r="H31" s="1" t="s">
        <v>2611</v>
      </c>
      <c r="I31" s="1"/>
      <c r="J31" s="1" t="s">
        <v>2611</v>
      </c>
      <c r="K31" s="1" t="s">
        <v>2611</v>
      </c>
      <c r="L31" s="1" t="s">
        <v>2611</v>
      </c>
      <c r="M31" s="1" t="s">
        <v>2611</v>
      </c>
      <c r="N31" s="1" t="s">
        <v>2611</v>
      </c>
      <c r="O31" s="1" t="s">
        <v>2611</v>
      </c>
      <c r="P31" s="9"/>
      <c r="R31" s="16">
        <f ca="1">IF(ISNUMBER(SEARCH(INDIRECT(CELL("address")),S31)),MAX($R$1:R30)+1,0)</f>
        <v>30</v>
      </c>
      <c r="S31" s="18" t="str">
        <f>Table1[[#This Row],[Portico_Specialty]]&amp;"-"&amp;Table1[[#This Row],[Code]]</f>
        <v>Audiologist: Assistive Technology Supplier-231HA2500X</v>
      </c>
      <c r="U31" s="16" t="str">
        <f ca="1">IFERROR(VLOOKUP(ROWS($U$1:U30),$R$2:$S$918,2,FALSE),"")</f>
        <v>Audiologist: Assistive Technology Supplier-231HA2500X</v>
      </c>
    </row>
    <row r="32" spans="1:21" x14ac:dyDescent="0.3">
      <c r="A32" s="21" t="s">
        <v>1193</v>
      </c>
      <c r="B32" s="21" t="str">
        <f>Table1[[#This Row],[Code]]&amp;" "&amp;Table1[[#This Row],[Portico_Specialty]]</f>
        <v>237600000X Audiologist-Hearing Aid Fitter</v>
      </c>
      <c r="C32" s="21" t="str">
        <f>CLEAN(Table1[[#This Row],[Code]])</f>
        <v>237600000X</v>
      </c>
      <c r="D32" s="1" t="s">
        <v>1194</v>
      </c>
      <c r="E32" s="1"/>
      <c r="F32" s="1" t="s">
        <v>2587</v>
      </c>
      <c r="G32" s="3" t="s">
        <v>2588</v>
      </c>
      <c r="H32" s="1" t="s">
        <v>2611</v>
      </c>
      <c r="I32" s="1"/>
      <c r="J32" s="1" t="s">
        <v>2611</v>
      </c>
      <c r="K32" s="1" t="s">
        <v>2611</v>
      </c>
      <c r="L32" s="1" t="s">
        <v>2611</v>
      </c>
      <c r="M32" s="1" t="s">
        <v>2611</v>
      </c>
      <c r="N32" s="1" t="s">
        <v>2611</v>
      </c>
      <c r="O32" s="1" t="s">
        <v>2611</v>
      </c>
      <c r="P32" s="9"/>
      <c r="R32" s="16">
        <f ca="1">IF(ISNUMBER(SEARCH(INDIRECT(CELL("address")),S32)),MAX($R$1:R31)+1,0)</f>
        <v>31</v>
      </c>
      <c r="S32" s="18" t="str">
        <f>Table1[[#This Row],[Portico_Specialty]]&amp;"-"&amp;Table1[[#This Row],[Code]]</f>
        <v>Audiologist-Hearing Aid Fitter-237600000X</v>
      </c>
      <c r="U32" s="16" t="str">
        <f ca="1">IFERROR(VLOOKUP(ROWS($U$1:U31),$R$2:$S$918,2,FALSE),"")</f>
        <v>Audiologist-Hearing Aid Fitter-237600000X</v>
      </c>
    </row>
    <row r="33" spans="1:21" x14ac:dyDescent="0.3">
      <c r="A33" s="21" t="s">
        <v>198</v>
      </c>
      <c r="B33" s="21" t="str">
        <f>Table1[[#This Row],[Code]]&amp;" "&amp;Table1[[#This Row],[Portico_Specialty]]</f>
        <v>106S00000X Behavior Technician</v>
      </c>
      <c r="C33" s="21" t="str">
        <f>CLEAN(Table1[[#This Row],[Code]])</f>
        <v>106S00000X</v>
      </c>
      <c r="D33" s="1" t="s">
        <v>199</v>
      </c>
      <c r="E33" s="1"/>
      <c r="F33" s="1" t="s">
        <v>2607</v>
      </c>
      <c r="G33" s="4" t="s">
        <v>2593</v>
      </c>
      <c r="H33" s="1"/>
      <c r="I33" s="1"/>
      <c r="J33" s="1" t="s">
        <v>2612</v>
      </c>
      <c r="K33" s="1" t="s">
        <v>2612</v>
      </c>
      <c r="L33" s="1"/>
      <c r="M33" s="1"/>
      <c r="N33" s="1"/>
      <c r="O33" s="1" t="s">
        <v>2612</v>
      </c>
      <c r="P33" s="9"/>
      <c r="R33" s="16">
        <f ca="1">IF(ISNUMBER(SEARCH(INDIRECT(CELL("address")),S33)),MAX($R$1:R32)+1,0)</f>
        <v>32</v>
      </c>
      <c r="S33" s="18" t="str">
        <f>Table1[[#This Row],[Portico_Specialty]]&amp;"-"&amp;Table1[[#This Row],[Code]]</f>
        <v>Behavior Technician-106S00000X</v>
      </c>
      <c r="U33" s="16" t="str">
        <f ca="1">IFERROR(VLOOKUP(ROWS($U$1:U32),$R$2:$S$918,2,FALSE),"")</f>
        <v>Behavior Technician-106S00000X</v>
      </c>
    </row>
    <row r="34" spans="1:21" x14ac:dyDescent="0.3">
      <c r="A34" s="21" t="s">
        <v>142</v>
      </c>
      <c r="B34" s="21" t="str">
        <f>Table1[[#This Row],[Code]]&amp;" "&amp;Table1[[#This Row],[Portico_Specialty]]</f>
        <v>103K00000X Behavioral Analyst</v>
      </c>
      <c r="C34" s="21" t="str">
        <f>CLEAN(Table1[[#This Row],[Code]])</f>
        <v>103K00000X</v>
      </c>
      <c r="D34" s="1" t="s">
        <v>143</v>
      </c>
      <c r="E34" s="1"/>
      <c r="F34" s="1" t="s">
        <v>2607</v>
      </c>
      <c r="G34" s="3" t="s">
        <v>2588</v>
      </c>
      <c r="H34" s="1" t="s">
        <v>2612</v>
      </c>
      <c r="I34" s="1"/>
      <c r="J34" s="1" t="s">
        <v>2613</v>
      </c>
      <c r="K34" s="1" t="s">
        <v>2613</v>
      </c>
      <c r="L34" s="1" t="s">
        <v>2612</v>
      </c>
      <c r="M34" s="1" t="s">
        <v>2613</v>
      </c>
      <c r="N34" s="1" t="s">
        <v>2612</v>
      </c>
      <c r="O34" s="1" t="s">
        <v>2613</v>
      </c>
      <c r="P34" s="9"/>
      <c r="R34" s="16">
        <f ca="1">IF(ISNUMBER(SEARCH(INDIRECT(CELL("address")),S34)),MAX($R$1:R33)+1,0)</f>
        <v>33</v>
      </c>
      <c r="S34" s="18" t="str">
        <f>Table1[[#This Row],[Portico_Specialty]]&amp;"-"&amp;Table1[[#This Row],[Code]]</f>
        <v>Behavioral Analyst-103K00000X</v>
      </c>
      <c r="U34" s="16" t="str">
        <f ca="1">IFERROR(VLOOKUP(ROWS($U$1:U33),$R$2:$S$918,2,FALSE),"")</f>
        <v>Behavioral Analyst-103K00000X</v>
      </c>
    </row>
    <row r="35" spans="1:21" x14ac:dyDescent="0.3">
      <c r="A35" s="21" t="s">
        <v>895</v>
      </c>
      <c r="B35" s="21" t="str">
        <f>Table1[[#This Row],[Code]]&amp;" "&amp;Table1[[#This Row],[Portico_Specialty]]</f>
        <v>2084B0040X Behavioral Neurology &amp; Neuropsychiatry</v>
      </c>
      <c r="C35" s="21" t="str">
        <f>CLEAN(Table1[[#This Row],[Code]])</f>
        <v>2084B0040X</v>
      </c>
      <c r="D35" s="1" t="s">
        <v>896</v>
      </c>
      <c r="E35" s="1"/>
      <c r="F35" s="1" t="s">
        <v>2607</v>
      </c>
      <c r="G35" s="3" t="s">
        <v>2588</v>
      </c>
      <c r="H35" s="1"/>
      <c r="I35" s="1"/>
      <c r="J35" s="1" t="s">
        <v>2614</v>
      </c>
      <c r="K35" s="1" t="s">
        <v>2614</v>
      </c>
      <c r="L35" s="1"/>
      <c r="M35" s="1"/>
      <c r="N35" s="1"/>
      <c r="O35" s="1" t="s">
        <v>2614</v>
      </c>
      <c r="P35" s="9"/>
      <c r="R35" s="16">
        <f ca="1">IF(ISNUMBER(SEARCH(INDIRECT(CELL("address")),S35)),MAX($R$1:R34)+1,0)</f>
        <v>34</v>
      </c>
      <c r="S35" s="18" t="str">
        <f>Table1[[#This Row],[Portico_Specialty]]&amp;"-"&amp;Table1[[#This Row],[Code]]</f>
        <v>Behavioral Neurology &amp; Neuropsychiatry-2084B0040X</v>
      </c>
      <c r="U35" s="16" t="str">
        <f ca="1">IFERROR(VLOOKUP(ROWS($U$1:U34),$R$2:$S$918,2,FALSE),"")</f>
        <v>Behavioral Neurology &amp; Neuropsychiatry-2084B0040X</v>
      </c>
    </row>
    <row r="36" spans="1:21" x14ac:dyDescent="0.3">
      <c r="A36" s="21" t="s">
        <v>1589</v>
      </c>
      <c r="B36" s="21" t="str">
        <f>Table1[[#This Row],[Code]]&amp;" "&amp;Table1[[#This Row],[Portico_Specialty]]</f>
        <v>331L00000X Blood Bank</v>
      </c>
      <c r="C36" s="21" t="str">
        <f>CLEAN(Table1[[#This Row],[Code]])</f>
        <v>331L00000X</v>
      </c>
      <c r="D36" s="1" t="s">
        <v>1590</v>
      </c>
      <c r="E36" s="1"/>
      <c r="F36" s="1" t="s">
        <v>2587</v>
      </c>
      <c r="G36" s="3" t="s">
        <v>2588</v>
      </c>
      <c r="H36" s="1" t="s">
        <v>2615</v>
      </c>
      <c r="I36" s="1"/>
      <c r="J36" s="1" t="s">
        <v>2590</v>
      </c>
      <c r="K36" s="1" t="s">
        <v>2590</v>
      </c>
      <c r="L36" s="1" t="s">
        <v>2615</v>
      </c>
      <c r="M36" s="1" t="s">
        <v>2615</v>
      </c>
      <c r="N36" s="1" t="s">
        <v>2615</v>
      </c>
      <c r="O36" s="1" t="s">
        <v>2590</v>
      </c>
      <c r="P36" s="9"/>
      <c r="R36" s="16">
        <f ca="1">IF(ISNUMBER(SEARCH(INDIRECT(CELL("address")),S36)),MAX($R$1:R35)+1,0)</f>
        <v>35</v>
      </c>
      <c r="S36" s="18" t="str">
        <f>Table1[[#This Row],[Portico_Specialty]]&amp;"-"&amp;Table1[[#This Row],[Code]]</f>
        <v>Blood Bank-331L00000X</v>
      </c>
      <c r="U36" s="16" t="str">
        <f ca="1">IFERROR(VLOOKUP(ROWS($U$1:U35),$R$2:$S$918,2,FALSE),"")</f>
        <v>Blood Bank-331L00000X</v>
      </c>
    </row>
    <row r="37" spans="1:21" x14ac:dyDescent="0.3">
      <c r="A37" s="21" t="s">
        <v>1677</v>
      </c>
      <c r="B37" s="21" t="str">
        <f>Table1[[#This Row],[Code]]&amp;" "&amp;Table1[[#This Row],[Portico_Specialty]]</f>
        <v>347B00000X Bus</v>
      </c>
      <c r="C37" s="21" t="str">
        <f>CLEAN(Table1[[#This Row],[Code]])</f>
        <v>347B00000X</v>
      </c>
      <c r="D37" s="1" t="s">
        <v>1678</v>
      </c>
      <c r="E37" s="1"/>
      <c r="F37" s="1" t="s">
        <v>2587</v>
      </c>
      <c r="G37" s="3" t="s">
        <v>2588</v>
      </c>
      <c r="H37" s="1" t="s">
        <v>2595</v>
      </c>
      <c r="I37" s="1"/>
      <c r="J37" s="1" t="s">
        <v>2595</v>
      </c>
      <c r="K37" s="1" t="s">
        <v>2596</v>
      </c>
      <c r="L37" s="1" t="s">
        <v>2595</v>
      </c>
      <c r="M37" s="1" t="s">
        <v>2595</v>
      </c>
      <c r="N37" s="1"/>
      <c r="O37" s="1" t="s">
        <v>2596</v>
      </c>
      <c r="P37" s="9"/>
      <c r="R37" s="16">
        <f ca="1">IF(ISNUMBER(SEARCH(INDIRECT(CELL("address")),S37)),MAX($R$1:R36)+1,0)</f>
        <v>36</v>
      </c>
      <c r="S37" s="18" t="str">
        <f>Table1[[#This Row],[Portico_Specialty]]&amp;"-"&amp;Table1[[#This Row],[Code]]</f>
        <v>Bus-347B00000X</v>
      </c>
      <c r="U37" s="16" t="str">
        <f ca="1">IFERROR(VLOOKUP(ROWS($U$1:U36),$R$2:$S$918,2,FALSE),"")</f>
        <v>Bus-347B00000X</v>
      </c>
    </row>
    <row r="38" spans="1:21" x14ac:dyDescent="0.3">
      <c r="A38" s="21" t="s">
        <v>2616</v>
      </c>
      <c r="B38" s="21" t="str">
        <f>Table1[[#This Row],[Code]]&amp;" "&amp;Table1[[#This Row],[Portico_Specialty]]</f>
        <v>AltSpec1 Care Management Specialist - HCBS</v>
      </c>
      <c r="C38" s="21" t="str">
        <f>CLEAN(Table1[[#This Row],[Code]])</f>
        <v>AltSpec1</v>
      </c>
      <c r="D38" s="1" t="s">
        <v>2617</v>
      </c>
      <c r="E38" s="1"/>
      <c r="F38" s="1" t="s">
        <v>2587</v>
      </c>
      <c r="G38" s="3" t="s">
        <v>2588</v>
      </c>
      <c r="H38" s="1"/>
      <c r="I38" s="1"/>
      <c r="J38" s="1"/>
      <c r="K38" s="1" t="s">
        <v>2618</v>
      </c>
      <c r="L38" s="1"/>
      <c r="M38" s="1"/>
      <c r="N38" s="1"/>
      <c r="O38" s="1"/>
      <c r="P38" s="9"/>
      <c r="R38" s="16">
        <f ca="1">IF(ISNUMBER(SEARCH(INDIRECT(CELL("address")),S38)),MAX($R$1:R37)+1,0)</f>
        <v>37</v>
      </c>
      <c r="S38" s="18" t="str">
        <f>Table1[[#This Row],[Portico_Specialty]]&amp;"-"&amp;Table1[[#This Row],[Code]]</f>
        <v>Care Management Specialist - HCBS-AltSpec1</v>
      </c>
      <c r="U38" s="16" t="str">
        <f ca="1">IFERROR(VLOOKUP(ROWS($U$1:U37),$R$2:$S$918,2,FALSE),"")</f>
        <v>Care Management Specialist - HCBS-AltSpec1</v>
      </c>
    </row>
    <row r="39" spans="1:21" x14ac:dyDescent="0.3">
      <c r="A39" s="21" t="s">
        <v>1331</v>
      </c>
      <c r="B39" s="21" t="str">
        <f>Table1[[#This Row],[Code]]&amp;" "&amp;Table1[[#This Row],[Portico_Specialty]]</f>
        <v>251B00000X Case Management</v>
      </c>
      <c r="C39" s="21" t="str">
        <f>CLEAN(Table1[[#This Row],[Code]])</f>
        <v>251B00000X</v>
      </c>
      <c r="D39" s="1" t="s">
        <v>1332</v>
      </c>
      <c r="E39" s="1"/>
      <c r="F39" s="4" t="s">
        <v>2619</v>
      </c>
      <c r="G39" s="3" t="s">
        <v>2588</v>
      </c>
      <c r="H39" s="1" t="s">
        <v>2620</v>
      </c>
      <c r="I39" s="1"/>
      <c r="J39" s="1" t="s">
        <v>2620</v>
      </c>
      <c r="K39" s="1" t="s">
        <v>2621</v>
      </c>
      <c r="L39" s="1" t="s">
        <v>2622</v>
      </c>
      <c r="M39" s="1" t="s">
        <v>2620</v>
      </c>
      <c r="N39" s="1" t="s">
        <v>2623</v>
      </c>
      <c r="O39" s="1" t="s">
        <v>2621</v>
      </c>
      <c r="P39" s="9"/>
      <c r="R39" s="16">
        <f ca="1">IF(ISNUMBER(SEARCH(INDIRECT(CELL("address")),S39)),MAX($R$1:R38)+1,0)</f>
        <v>38</v>
      </c>
      <c r="S39" s="18" t="str">
        <f>Table1[[#This Row],[Portico_Specialty]]&amp;"-"&amp;Table1[[#This Row],[Code]]</f>
        <v>Case Management-251B00000X</v>
      </c>
      <c r="U39" s="16" t="str">
        <f ca="1">IFERROR(VLOOKUP(ROWS($U$1:U38),$R$2:$S$918,2,FALSE),"")</f>
        <v>Case Management-251B00000X</v>
      </c>
    </row>
    <row r="40" spans="1:21" x14ac:dyDescent="0.3">
      <c r="A40" s="21" t="s">
        <v>453</v>
      </c>
      <c r="B40" s="21" t="str">
        <f>Table1[[#This Row],[Code]]&amp;" "&amp;Table1[[#This Row],[Portico_Specialty]]</f>
        <v>171M00000X Case Manager/Care Coordinator</v>
      </c>
      <c r="C40" s="21" t="str">
        <f>CLEAN(Table1[[#This Row],[Code]])</f>
        <v>171M00000X</v>
      </c>
      <c r="D40" s="1" t="s">
        <v>454</v>
      </c>
      <c r="E40" s="1"/>
      <c r="F40" s="4" t="s">
        <v>2619</v>
      </c>
      <c r="G40" s="3" t="s">
        <v>2588</v>
      </c>
      <c r="H40" s="1" t="s">
        <v>2615</v>
      </c>
      <c r="I40" s="1"/>
      <c r="J40" s="1" t="s">
        <v>2620</v>
      </c>
      <c r="K40" s="1" t="s">
        <v>2612</v>
      </c>
      <c r="L40" s="1" t="s">
        <v>2612</v>
      </c>
      <c r="M40" s="1" t="s">
        <v>2620</v>
      </c>
      <c r="N40" s="1" t="s">
        <v>2623</v>
      </c>
      <c r="O40" s="1" t="s">
        <v>2612</v>
      </c>
      <c r="P40" s="9"/>
      <c r="R40" s="16">
        <f ca="1">IF(ISNUMBER(SEARCH(INDIRECT(CELL("address")),S40)),MAX($R$1:R39)+1,0)</f>
        <v>39</v>
      </c>
      <c r="S40" s="18" t="str">
        <f>Table1[[#This Row],[Portico_Specialty]]&amp;"-"&amp;Table1[[#This Row],[Code]]</f>
        <v>Case Manager/Care Coordinator-171M00000X</v>
      </c>
      <c r="U40" s="16" t="str">
        <f ca="1">IFERROR(VLOOKUP(ROWS($U$1:U39),$R$2:$S$918,2,FALSE),"")</f>
        <v>Case Manager/Care Coordinator-171M00000X</v>
      </c>
    </row>
    <row r="41" spans="1:21" x14ac:dyDescent="0.3">
      <c r="A41" s="21" t="s">
        <v>2616</v>
      </c>
      <c r="B41" s="21" t="str">
        <f>Table1[[#This Row],[Code]]&amp;" "&amp;Table1[[#This Row],[Portico_Specialty]]</f>
        <v>AltSpec1 Certified Ohio Behavioral Analyst - HCBS</v>
      </c>
      <c r="C41" s="21" t="str">
        <f>CLEAN(Table1[[#This Row],[Code]])</f>
        <v>AltSpec1</v>
      </c>
      <c r="D41" s="1" t="s">
        <v>2624</v>
      </c>
      <c r="E41" s="1"/>
      <c r="F41" s="1" t="s">
        <v>2587</v>
      </c>
      <c r="G41" s="3" t="s">
        <v>2588</v>
      </c>
      <c r="H41" s="1"/>
      <c r="I41" s="1"/>
      <c r="J41" s="1"/>
      <c r="K41" s="1" t="s">
        <v>2625</v>
      </c>
      <c r="L41" s="1"/>
      <c r="M41" s="1"/>
      <c r="N41" s="1"/>
      <c r="O41" s="1"/>
      <c r="P41" s="9"/>
      <c r="R41" s="16">
        <f ca="1">IF(ISNUMBER(SEARCH(INDIRECT(CELL("address")),S41)),MAX($R$1:R40)+1,0)</f>
        <v>40</v>
      </c>
      <c r="S41" s="18" t="str">
        <f>Table1[[#This Row],[Portico_Specialty]]&amp;"-"&amp;Table1[[#This Row],[Code]]</f>
        <v>Certified Ohio Behavioral Analyst - HCBS-AltSpec1</v>
      </c>
      <c r="U41" s="16" t="str">
        <f ca="1">IFERROR(VLOOKUP(ROWS($U$1:U40),$R$2:$S$918,2,FALSE),"")</f>
        <v>Certified Ohio Behavioral Analyst - HCBS-AltSpec1</v>
      </c>
    </row>
    <row r="42" spans="1:21" x14ac:dyDescent="0.3">
      <c r="A42" s="21" t="s">
        <v>2616</v>
      </c>
      <c r="B42" s="21" t="str">
        <f>Table1[[#This Row],[Code]]&amp;" "&amp;Table1[[#This Row],[Portico_Specialty]]</f>
        <v>AltSpec1 Chemical Depend Counselor II - HCBS</v>
      </c>
      <c r="C42" s="21" t="str">
        <f>CLEAN(Table1[[#This Row],[Code]])</f>
        <v>AltSpec1</v>
      </c>
      <c r="D42" s="1" t="s">
        <v>2626</v>
      </c>
      <c r="E42" s="1"/>
      <c r="F42" s="1" t="s">
        <v>2587</v>
      </c>
      <c r="G42" s="3" t="s">
        <v>2588</v>
      </c>
      <c r="H42" s="1"/>
      <c r="I42" s="1"/>
      <c r="J42" s="1"/>
      <c r="K42" s="1" t="s">
        <v>2627</v>
      </c>
      <c r="L42" s="1"/>
      <c r="M42" s="1"/>
      <c r="N42" s="1"/>
      <c r="O42" s="1"/>
      <c r="P42" s="9"/>
      <c r="R42" s="16">
        <f ca="1">IF(ISNUMBER(SEARCH(INDIRECT(CELL("address")),S42)),MAX($R$1:R41)+1,0)</f>
        <v>41</v>
      </c>
      <c r="S42" s="18" t="str">
        <f>Table1[[#This Row],[Portico_Specialty]]&amp;"-"&amp;Table1[[#This Row],[Code]]</f>
        <v>Chemical Depend Counselor II - HCBS-AltSpec1</v>
      </c>
      <c r="U42" s="16" t="str">
        <f ca="1">IFERROR(VLOOKUP(ROWS($U$1:U41),$R$2:$S$918,2,FALSE),"")</f>
        <v>Chemical Depend Counselor II - HCBS-AltSpec1</v>
      </c>
    </row>
    <row r="43" spans="1:21" x14ac:dyDescent="0.3">
      <c r="A43" s="21" t="s">
        <v>2616</v>
      </c>
      <c r="B43" s="21" t="str">
        <f>Table1[[#This Row],[Code]]&amp;" "&amp;Table1[[#This Row],[Portico_Specialty]]</f>
        <v>AltSpec1 Chemical Depend Counselor III - HCBS</v>
      </c>
      <c r="C43" s="21" t="str">
        <f>CLEAN(Table1[[#This Row],[Code]])</f>
        <v>AltSpec1</v>
      </c>
      <c r="D43" s="1" t="s">
        <v>2628</v>
      </c>
      <c r="E43" s="1"/>
      <c r="F43" s="1" t="s">
        <v>2587</v>
      </c>
      <c r="G43" s="3" t="s">
        <v>2588</v>
      </c>
      <c r="H43" s="1"/>
      <c r="I43" s="1"/>
      <c r="J43" s="1"/>
      <c r="K43" s="1" t="s">
        <v>2629</v>
      </c>
      <c r="L43" s="1"/>
      <c r="M43" s="1"/>
      <c r="N43" s="1"/>
      <c r="O43" s="1"/>
      <c r="P43" s="9"/>
      <c r="R43" s="16">
        <f ca="1">IF(ISNUMBER(SEARCH(INDIRECT(CELL("address")),S43)),MAX($R$1:R42)+1,0)</f>
        <v>42</v>
      </c>
      <c r="S43" s="18" t="str">
        <f>Table1[[#This Row],[Portico_Specialty]]&amp;"-"&amp;Table1[[#This Row],[Code]]</f>
        <v>Chemical Depend Counselor III - HCBS-AltSpec1</v>
      </c>
      <c r="U43" s="16" t="str">
        <f ca="1">IFERROR(VLOOKUP(ROWS($U$1:U42),$R$2:$S$918,2,FALSE),"")</f>
        <v>Chemical Depend Counselor III - HCBS-AltSpec1</v>
      </c>
    </row>
    <row r="44" spans="1:21" x14ac:dyDescent="0.3">
      <c r="A44" s="21" t="s">
        <v>2616</v>
      </c>
      <c r="B44" s="21" t="str">
        <f>Table1[[#This Row],[Code]]&amp;" "&amp;Table1[[#This Row],[Portico_Specialty]]</f>
        <v>AltSpec1 Chemical Dependency Counselor - HCBS</v>
      </c>
      <c r="C44" s="21" t="str">
        <f>CLEAN(Table1[[#This Row],[Code]])</f>
        <v>AltSpec1</v>
      </c>
      <c r="D44" s="1" t="s">
        <v>2630</v>
      </c>
      <c r="E44" s="1"/>
      <c r="F44" s="1" t="s">
        <v>2587</v>
      </c>
      <c r="G44" s="3" t="s">
        <v>2588</v>
      </c>
      <c r="H44" s="1"/>
      <c r="I44" s="1"/>
      <c r="J44" s="1"/>
      <c r="K44" s="1" t="s">
        <v>2631</v>
      </c>
      <c r="L44" s="1"/>
      <c r="M44" s="1"/>
      <c r="N44" s="1"/>
      <c r="O44" s="1"/>
      <c r="P44" s="9"/>
      <c r="R44" s="16">
        <f ca="1">IF(ISNUMBER(SEARCH(INDIRECT(CELL("address")),S44)),MAX($R$1:R43)+1,0)</f>
        <v>43</v>
      </c>
      <c r="S44" s="18" t="str">
        <f>Table1[[#This Row],[Portico_Specialty]]&amp;"-"&amp;Table1[[#This Row],[Code]]</f>
        <v>Chemical Dependency Counselor - HCBS-AltSpec1</v>
      </c>
      <c r="U44" s="16" t="str">
        <f ca="1">IFERROR(VLOOKUP(ROWS($U$1:U43),$R$2:$S$918,2,FALSE),"")</f>
        <v>Chemical Dependency Counselor - HCBS-AltSpec1</v>
      </c>
    </row>
    <row r="45" spans="1:21" ht="30.75" x14ac:dyDescent="0.3">
      <c r="A45" s="21" t="s">
        <v>2616</v>
      </c>
      <c r="B45" s="21" t="str">
        <f>Table1[[#This Row],[Code]]&amp;" "&amp;Table1[[#This Row],[Portico_Specialty]]</f>
        <v>AltSpec1 Chemical Dependency Counselor Assistant - HCBS</v>
      </c>
      <c r="C45" s="21" t="str">
        <f>CLEAN(Table1[[#This Row],[Code]])</f>
        <v>AltSpec1</v>
      </c>
      <c r="D45" s="1" t="s">
        <v>2632</v>
      </c>
      <c r="E45" s="1"/>
      <c r="F45" s="1" t="s">
        <v>2587</v>
      </c>
      <c r="G45" s="3" t="s">
        <v>2588</v>
      </c>
      <c r="H45" s="1"/>
      <c r="I45" s="1"/>
      <c r="J45" s="1"/>
      <c r="K45" s="1" t="s">
        <v>2633</v>
      </c>
      <c r="L45" s="1"/>
      <c r="M45" s="1"/>
      <c r="N45" s="1"/>
      <c r="O45" s="1"/>
      <c r="P45" s="9"/>
      <c r="R45" s="16">
        <f ca="1">IF(ISNUMBER(SEARCH(INDIRECT(CELL("address")),S45)),MAX($R$1:R44)+1,0)</f>
        <v>44</v>
      </c>
      <c r="S45" s="18" t="str">
        <f>Table1[[#This Row],[Portico_Specialty]]&amp;"-"&amp;Table1[[#This Row],[Code]]</f>
        <v>Chemical Dependency Counselor Assistant - HCBS-AltSpec1</v>
      </c>
      <c r="U45" s="16" t="str">
        <f ca="1">IFERROR(VLOOKUP(ROWS($U$1:U44),$R$2:$S$918,2,FALSE),"")</f>
        <v>Chemical Dependency Counselor Assistant - HCBS-AltSpec1</v>
      </c>
    </row>
    <row r="46" spans="1:21" ht="30.75" x14ac:dyDescent="0.3">
      <c r="A46" s="21" t="s">
        <v>2616</v>
      </c>
      <c r="B46" s="21" t="str">
        <f>Table1[[#This Row],[Code]]&amp;" "&amp;Table1[[#This Row],[Portico_Specialty]]</f>
        <v>AltSpec1 Chemical Dependency Counselor Assistant Dual 399</v>
      </c>
      <c r="C46" s="21" t="str">
        <f>CLEAN(Table1[[#This Row],[Code]])</f>
        <v>AltSpec1</v>
      </c>
      <c r="D46" s="1" t="s">
        <v>2634</v>
      </c>
      <c r="E46" s="1"/>
      <c r="F46" s="1" t="s">
        <v>2587</v>
      </c>
      <c r="G46" s="3" t="s">
        <v>2588</v>
      </c>
      <c r="H46" s="1"/>
      <c r="I46" s="1"/>
      <c r="J46" s="1"/>
      <c r="K46" s="1" t="s">
        <v>2635</v>
      </c>
      <c r="L46" s="1"/>
      <c r="M46" s="1"/>
      <c r="N46" s="1"/>
      <c r="O46" s="1"/>
      <c r="P46" s="9"/>
      <c r="R46" s="16">
        <f ca="1">IF(ISNUMBER(SEARCH(INDIRECT(CELL("address")),S46)),MAX($R$1:R45)+1,0)</f>
        <v>45</v>
      </c>
      <c r="S46" s="18" t="str">
        <f>Table1[[#This Row],[Portico_Specialty]]&amp;"-"&amp;Table1[[#This Row],[Code]]</f>
        <v>Chemical Dependency Counselor Assistant Dual 399-AltSpec1</v>
      </c>
      <c r="U46" s="16" t="str">
        <f ca="1">IFERROR(VLOOKUP(ROWS($U$1:U45),$R$2:$S$918,2,FALSE),"")</f>
        <v>Chemical Dependency Counselor Assistant Dual 399-AltSpec1</v>
      </c>
    </row>
    <row r="47" spans="1:21" ht="30.75" x14ac:dyDescent="0.3">
      <c r="A47" s="21" t="s">
        <v>2616</v>
      </c>
      <c r="B47" s="21" t="str">
        <f>Table1[[#This Row],[Code]]&amp;" "&amp;Table1[[#This Row],[Portico_Specialty]]</f>
        <v>AltSpec1 Chemical Dependency Counselor Assistant Dual 699</v>
      </c>
      <c r="C47" s="21" t="str">
        <f>CLEAN(Table1[[#This Row],[Code]])</f>
        <v>AltSpec1</v>
      </c>
      <c r="D47" s="1" t="s">
        <v>2636</v>
      </c>
      <c r="E47" s="1"/>
      <c r="F47" s="1" t="s">
        <v>2587</v>
      </c>
      <c r="G47" s="3" t="s">
        <v>2588</v>
      </c>
      <c r="H47" s="1"/>
      <c r="I47" s="1"/>
      <c r="J47" s="1"/>
      <c r="K47" s="1" t="s">
        <v>2637</v>
      </c>
      <c r="L47" s="1"/>
      <c r="M47" s="1"/>
      <c r="N47" s="1"/>
      <c r="O47" s="1"/>
      <c r="P47" s="9"/>
      <c r="R47" s="16">
        <f ca="1">IF(ISNUMBER(SEARCH(INDIRECT(CELL("address")),S47)),MAX($R$1:R46)+1,0)</f>
        <v>46</v>
      </c>
      <c r="S47" s="18" t="str">
        <f>Table1[[#This Row],[Portico_Specialty]]&amp;"-"&amp;Table1[[#This Row],[Code]]</f>
        <v>Chemical Dependency Counselor Assistant Dual 699-AltSpec1</v>
      </c>
      <c r="U47" s="16" t="str">
        <f ca="1">IFERROR(VLOOKUP(ROWS($U$1:U46),$R$2:$S$918,2,FALSE),"")</f>
        <v>Chemical Dependency Counselor Assistant Dual 699-AltSpec1</v>
      </c>
    </row>
    <row r="48" spans="1:21" x14ac:dyDescent="0.3">
      <c r="A48" s="21" t="s">
        <v>200</v>
      </c>
      <c r="B48" s="21" t="str">
        <f>Table1[[#This Row],[Code]]&amp;" "&amp;Table1[[#This Row],[Portico_Specialty]]</f>
        <v>111N00000X Chiropractor</v>
      </c>
      <c r="C48" s="21" t="str">
        <f>CLEAN(Table1[[#This Row],[Code]])</f>
        <v>111N00000X</v>
      </c>
      <c r="D48" s="1" t="s">
        <v>201</v>
      </c>
      <c r="E48" s="1"/>
      <c r="F48" s="1" t="s">
        <v>2587</v>
      </c>
      <c r="G48" s="4" t="s">
        <v>2593</v>
      </c>
      <c r="H48" s="1" t="s">
        <v>2638</v>
      </c>
      <c r="I48" s="1"/>
      <c r="J48" s="1" t="s">
        <v>2638</v>
      </c>
      <c r="K48" s="1" t="s">
        <v>2638</v>
      </c>
      <c r="L48" s="1" t="s">
        <v>2638</v>
      </c>
      <c r="M48" s="1" t="s">
        <v>2638</v>
      </c>
      <c r="N48" s="1" t="s">
        <v>2638</v>
      </c>
      <c r="O48" s="1" t="s">
        <v>2638</v>
      </c>
      <c r="P48" s="9"/>
      <c r="R48" s="16">
        <f ca="1">IF(ISNUMBER(SEARCH(INDIRECT(CELL("address")),S48)),MAX($R$1:R47)+1,0)</f>
        <v>47</v>
      </c>
      <c r="S48" s="18" t="str">
        <f>Table1[[#This Row],[Portico_Specialty]]&amp;"-"&amp;Table1[[#This Row],[Code]]</f>
        <v>Chiropractor-111N00000X</v>
      </c>
      <c r="U48" s="16" t="str">
        <f ca="1">IFERROR(VLOOKUP(ROWS($U$1:U47),$R$2:$S$918,2,FALSE),"")</f>
        <v>Chiropractor-111N00000X</v>
      </c>
    </row>
    <row r="49" spans="1:21" ht="30.75" x14ac:dyDescent="0.3">
      <c r="A49" s="21" t="s">
        <v>202</v>
      </c>
      <c r="B49" s="21" t="str">
        <f>Table1[[#This Row],[Code]]&amp;" "&amp;Table1[[#This Row],[Portico_Specialty]]</f>
        <v>111NI0013X Chiropractor: Independent Medical Examiner</v>
      </c>
      <c r="C49" s="21" t="str">
        <f>CLEAN(Table1[[#This Row],[Code]])</f>
        <v>111NI0013X</v>
      </c>
      <c r="D49" s="1" t="s">
        <v>203</v>
      </c>
      <c r="E49" s="1"/>
      <c r="F49" s="1" t="s">
        <v>2587</v>
      </c>
      <c r="G49" s="4" t="s">
        <v>2593</v>
      </c>
      <c r="H49" s="1" t="s">
        <v>2638</v>
      </c>
      <c r="I49" s="1"/>
      <c r="J49" s="1" t="s">
        <v>2638</v>
      </c>
      <c r="K49" s="1" t="s">
        <v>2638</v>
      </c>
      <c r="L49" s="1" t="s">
        <v>2638</v>
      </c>
      <c r="M49" s="1" t="s">
        <v>2638</v>
      </c>
      <c r="N49" s="1" t="s">
        <v>2638</v>
      </c>
      <c r="O49" s="1" t="s">
        <v>2638</v>
      </c>
      <c r="P49" s="9"/>
      <c r="R49" s="16">
        <f ca="1">IF(ISNUMBER(SEARCH(INDIRECT(CELL("address")),S49)),MAX($R$1:R48)+1,0)</f>
        <v>48</v>
      </c>
      <c r="S49" s="18" t="str">
        <f>Table1[[#This Row],[Portico_Specialty]]&amp;"-"&amp;Table1[[#This Row],[Code]]</f>
        <v>Chiropractor: Independent Medical Examiner-111NI0013X</v>
      </c>
      <c r="U49" s="16" t="str">
        <f ca="1">IFERROR(VLOOKUP(ROWS($U$1:U48),$R$2:$S$918,2,FALSE),"")</f>
        <v>Chiropractor: Independent Medical Examiner-111NI0013X</v>
      </c>
    </row>
    <row r="50" spans="1:21" x14ac:dyDescent="0.3">
      <c r="A50" s="21" t="s">
        <v>204</v>
      </c>
      <c r="B50" s="21" t="str">
        <f>Table1[[#This Row],[Code]]&amp;" "&amp;Table1[[#This Row],[Portico_Specialty]]</f>
        <v>111NI0900X Chiropractor: Internist</v>
      </c>
      <c r="C50" s="21" t="str">
        <f>CLEAN(Table1[[#This Row],[Code]])</f>
        <v>111NI0900X</v>
      </c>
      <c r="D50" s="1" t="s">
        <v>205</v>
      </c>
      <c r="E50" s="1"/>
      <c r="F50" s="1" t="s">
        <v>2587</v>
      </c>
      <c r="G50" s="4" t="s">
        <v>2593</v>
      </c>
      <c r="H50" s="1" t="s">
        <v>2638</v>
      </c>
      <c r="I50" s="1"/>
      <c r="J50" s="1" t="s">
        <v>2638</v>
      </c>
      <c r="K50" s="1" t="s">
        <v>2638</v>
      </c>
      <c r="L50" s="1" t="s">
        <v>2638</v>
      </c>
      <c r="M50" s="1" t="s">
        <v>2638</v>
      </c>
      <c r="N50" s="1" t="s">
        <v>2638</v>
      </c>
      <c r="O50" s="1" t="s">
        <v>2638</v>
      </c>
      <c r="P50" s="9"/>
      <c r="R50" s="16">
        <f ca="1">IF(ISNUMBER(SEARCH(INDIRECT(CELL("address")),S50)),MAX($R$1:R49)+1,0)</f>
        <v>49</v>
      </c>
      <c r="S50" s="18" t="str">
        <f>Table1[[#This Row],[Portico_Specialty]]&amp;"-"&amp;Table1[[#This Row],[Code]]</f>
        <v>Chiropractor: Internist-111NI0900X</v>
      </c>
      <c r="U50" s="16" t="str">
        <f ca="1">IFERROR(VLOOKUP(ROWS($U$1:U49),$R$2:$S$918,2,FALSE),"")</f>
        <v>Chiropractor: Internist-111NI0900X</v>
      </c>
    </row>
    <row r="51" spans="1:21" x14ac:dyDescent="0.3">
      <c r="A51" s="21" t="s">
        <v>206</v>
      </c>
      <c r="B51" s="21" t="str">
        <f>Table1[[#This Row],[Code]]&amp;" "&amp;Table1[[#This Row],[Portico_Specialty]]</f>
        <v>111NN0400X Chiropractor: Neurology</v>
      </c>
      <c r="C51" s="21" t="str">
        <f>CLEAN(Table1[[#This Row],[Code]])</f>
        <v>111NN0400X</v>
      </c>
      <c r="D51" s="1" t="s">
        <v>207</v>
      </c>
      <c r="E51" s="1"/>
      <c r="F51" s="1" t="s">
        <v>2587</v>
      </c>
      <c r="G51" s="4" t="s">
        <v>2593</v>
      </c>
      <c r="H51" s="1" t="s">
        <v>2638</v>
      </c>
      <c r="I51" s="1"/>
      <c r="J51" s="1" t="s">
        <v>2638</v>
      </c>
      <c r="K51" s="1" t="s">
        <v>2638</v>
      </c>
      <c r="L51" s="1" t="s">
        <v>2638</v>
      </c>
      <c r="M51" s="1" t="s">
        <v>2638</v>
      </c>
      <c r="N51" s="1" t="s">
        <v>2638</v>
      </c>
      <c r="O51" s="1" t="s">
        <v>2638</v>
      </c>
      <c r="P51" s="9"/>
      <c r="R51" s="16">
        <f ca="1">IF(ISNUMBER(SEARCH(INDIRECT(CELL("address")),S51)),MAX($R$1:R50)+1,0)</f>
        <v>50</v>
      </c>
      <c r="S51" s="18" t="str">
        <f>Table1[[#This Row],[Portico_Specialty]]&amp;"-"&amp;Table1[[#This Row],[Code]]</f>
        <v>Chiropractor: Neurology-111NN0400X</v>
      </c>
      <c r="U51" s="16" t="str">
        <f ca="1">IFERROR(VLOOKUP(ROWS($U$1:U50),$R$2:$S$918,2,FALSE),"")</f>
        <v>Chiropractor: Neurology-111NN0400X</v>
      </c>
    </row>
    <row r="52" spans="1:21" x14ac:dyDescent="0.3">
      <c r="A52" s="21" t="s">
        <v>208</v>
      </c>
      <c r="B52" s="21" t="str">
        <f>Table1[[#This Row],[Code]]&amp;" "&amp;Table1[[#This Row],[Portico_Specialty]]</f>
        <v>111NN1001X Chiropractor: Nutrition</v>
      </c>
      <c r="C52" s="21" t="str">
        <f>CLEAN(Table1[[#This Row],[Code]])</f>
        <v>111NN1001X</v>
      </c>
      <c r="D52" s="1" t="s">
        <v>209</v>
      </c>
      <c r="E52" s="1"/>
      <c r="F52" s="1" t="s">
        <v>2587</v>
      </c>
      <c r="G52" s="4" t="s">
        <v>2593</v>
      </c>
      <c r="H52" s="1" t="s">
        <v>2638</v>
      </c>
      <c r="I52" s="1"/>
      <c r="J52" s="1" t="s">
        <v>2638</v>
      </c>
      <c r="K52" s="1" t="s">
        <v>2638</v>
      </c>
      <c r="L52" s="1" t="s">
        <v>2638</v>
      </c>
      <c r="M52" s="1" t="s">
        <v>2638</v>
      </c>
      <c r="N52" s="1" t="s">
        <v>2638</v>
      </c>
      <c r="O52" s="1" t="s">
        <v>2638</v>
      </c>
      <c r="P52" s="9"/>
      <c r="R52" s="16">
        <f ca="1">IF(ISNUMBER(SEARCH(INDIRECT(CELL("address")),S52)),MAX($R$1:R51)+1,0)</f>
        <v>51</v>
      </c>
      <c r="S52" s="18" t="str">
        <f>Table1[[#This Row],[Portico_Specialty]]&amp;"-"&amp;Table1[[#This Row],[Code]]</f>
        <v>Chiropractor: Nutrition-111NN1001X</v>
      </c>
      <c r="U52" s="16" t="str">
        <f ca="1">IFERROR(VLOOKUP(ROWS($U$1:U51),$R$2:$S$918,2,FALSE),"")</f>
        <v>Chiropractor: Nutrition-111NN1001X</v>
      </c>
    </row>
    <row r="53" spans="1:21" x14ac:dyDescent="0.3">
      <c r="A53" s="21" t="s">
        <v>220</v>
      </c>
      <c r="B53" s="21" t="str">
        <f>Table1[[#This Row],[Code]]&amp;" "&amp;Table1[[#This Row],[Portico_Specialty]]</f>
        <v>111NX0100X Chiropractor: Occupational Medicine</v>
      </c>
      <c r="C53" s="21" t="str">
        <f>CLEAN(Table1[[#This Row],[Code]])</f>
        <v>111NX0100X</v>
      </c>
      <c r="D53" s="1" t="s">
        <v>221</v>
      </c>
      <c r="E53" s="1"/>
      <c r="F53" s="1" t="s">
        <v>2587</v>
      </c>
      <c r="G53" s="4" t="s">
        <v>2593</v>
      </c>
      <c r="H53" s="1" t="s">
        <v>2638</v>
      </c>
      <c r="I53" s="1"/>
      <c r="J53" s="1" t="s">
        <v>2638</v>
      </c>
      <c r="K53" s="1" t="s">
        <v>2638</v>
      </c>
      <c r="L53" s="1" t="s">
        <v>2638</v>
      </c>
      <c r="M53" s="1" t="s">
        <v>2638</v>
      </c>
      <c r="N53" s="1" t="s">
        <v>2638</v>
      </c>
      <c r="O53" s="1" t="s">
        <v>2638</v>
      </c>
      <c r="P53" s="9"/>
      <c r="R53" s="16">
        <f ca="1">IF(ISNUMBER(SEARCH(INDIRECT(CELL("address")),S53)),MAX($R$1:R52)+1,0)</f>
        <v>52</v>
      </c>
      <c r="S53" s="18" t="str">
        <f>Table1[[#This Row],[Portico_Specialty]]&amp;"-"&amp;Table1[[#This Row],[Code]]</f>
        <v>Chiropractor: Occupational Medicine-111NX0100X</v>
      </c>
      <c r="U53" s="16" t="str">
        <f ca="1">IFERROR(VLOOKUP(ROWS($U$1:U52),$R$2:$S$918,2,FALSE),"")</f>
        <v>Chiropractor: Occupational Medicine-111NX0100X</v>
      </c>
    </row>
    <row r="54" spans="1:21" x14ac:dyDescent="0.3">
      <c r="A54" s="21" t="s">
        <v>222</v>
      </c>
      <c r="B54" s="21" t="str">
        <f>Table1[[#This Row],[Code]]&amp;" "&amp;Table1[[#This Row],[Portico_Specialty]]</f>
        <v>111NX0800X Chiropractor: Orthopedic</v>
      </c>
      <c r="C54" s="21" t="str">
        <f>CLEAN(Table1[[#This Row],[Code]])</f>
        <v>111NX0800X</v>
      </c>
      <c r="D54" s="1" t="s">
        <v>223</v>
      </c>
      <c r="E54" s="1"/>
      <c r="F54" s="1" t="s">
        <v>2587</v>
      </c>
      <c r="G54" s="4" t="s">
        <v>2593</v>
      </c>
      <c r="H54" s="1" t="s">
        <v>2638</v>
      </c>
      <c r="I54" s="1"/>
      <c r="J54" s="1" t="s">
        <v>2638</v>
      </c>
      <c r="K54" s="1" t="s">
        <v>2638</v>
      </c>
      <c r="L54" s="1" t="s">
        <v>2638</v>
      </c>
      <c r="M54" s="1" t="s">
        <v>2638</v>
      </c>
      <c r="N54" s="1" t="s">
        <v>2638</v>
      </c>
      <c r="O54" s="1" t="s">
        <v>2638</v>
      </c>
      <c r="P54" s="9"/>
      <c r="R54" s="16">
        <f ca="1">IF(ISNUMBER(SEARCH(INDIRECT(CELL("address")),S54)),MAX($R$1:R53)+1,0)</f>
        <v>53</v>
      </c>
      <c r="S54" s="18" t="str">
        <f>Table1[[#This Row],[Portico_Specialty]]&amp;"-"&amp;Table1[[#This Row],[Code]]</f>
        <v>Chiropractor: Orthopedic-111NX0800X</v>
      </c>
      <c r="U54" s="16" t="str">
        <f ca="1">IFERROR(VLOOKUP(ROWS($U$1:U53),$R$2:$S$918,2,FALSE),"")</f>
        <v>Chiropractor: Orthopedic-111NX0800X</v>
      </c>
    </row>
    <row r="55" spans="1:21" x14ac:dyDescent="0.3">
      <c r="A55" s="21" t="s">
        <v>210</v>
      </c>
      <c r="B55" s="21" t="str">
        <f>Table1[[#This Row],[Code]]&amp;" "&amp;Table1[[#This Row],[Portico_Specialty]]</f>
        <v>111NP0017X Chiropractor: Pediatric Chiropractor</v>
      </c>
      <c r="C55" s="21" t="str">
        <f>CLEAN(Table1[[#This Row],[Code]])</f>
        <v>111NP0017X</v>
      </c>
      <c r="D55" s="1" t="s">
        <v>211</v>
      </c>
      <c r="E55" s="1"/>
      <c r="F55" s="1" t="s">
        <v>2587</v>
      </c>
      <c r="G55" s="4" t="s">
        <v>2593</v>
      </c>
      <c r="H55" s="1" t="s">
        <v>2638</v>
      </c>
      <c r="I55" s="1"/>
      <c r="J55" s="1" t="s">
        <v>2638</v>
      </c>
      <c r="K55" s="1" t="s">
        <v>2638</v>
      </c>
      <c r="L55" s="1" t="s">
        <v>2638</v>
      </c>
      <c r="M55" s="1" t="s">
        <v>2638</v>
      </c>
      <c r="N55" s="1" t="s">
        <v>2638</v>
      </c>
      <c r="O55" s="1" t="s">
        <v>2638</v>
      </c>
      <c r="P55" s="9"/>
      <c r="R55" s="16">
        <f ca="1">IF(ISNUMBER(SEARCH(INDIRECT(CELL("address")),S55)),MAX($R$1:R54)+1,0)</f>
        <v>54</v>
      </c>
      <c r="S55" s="18" t="str">
        <f>Table1[[#This Row],[Portico_Specialty]]&amp;"-"&amp;Table1[[#This Row],[Code]]</f>
        <v>Chiropractor: Pediatric Chiropractor-111NP0017X</v>
      </c>
      <c r="U55" s="16" t="str">
        <f ca="1">IFERROR(VLOOKUP(ROWS($U$1:U54),$R$2:$S$918,2,FALSE),"")</f>
        <v>Chiropractor: Pediatric Chiropractor-111NP0017X</v>
      </c>
    </row>
    <row r="56" spans="1:21" x14ac:dyDescent="0.3">
      <c r="A56" s="21" t="s">
        <v>212</v>
      </c>
      <c r="B56" s="21" t="str">
        <f>Table1[[#This Row],[Code]]&amp;" "&amp;Table1[[#This Row],[Portico_Specialty]]</f>
        <v>111NR0200X Chiropractor: Radiology</v>
      </c>
      <c r="C56" s="21" t="str">
        <f>CLEAN(Table1[[#This Row],[Code]])</f>
        <v>111NR0200X</v>
      </c>
      <c r="D56" s="1" t="s">
        <v>213</v>
      </c>
      <c r="E56" s="1"/>
      <c r="F56" s="1" t="s">
        <v>2587</v>
      </c>
      <c r="G56" s="4" t="s">
        <v>2593</v>
      </c>
      <c r="H56" s="1" t="s">
        <v>2638</v>
      </c>
      <c r="I56" s="1"/>
      <c r="J56" s="1" t="s">
        <v>2638</v>
      </c>
      <c r="K56" s="1" t="s">
        <v>2638</v>
      </c>
      <c r="L56" s="1" t="s">
        <v>2638</v>
      </c>
      <c r="M56" s="1" t="s">
        <v>2638</v>
      </c>
      <c r="N56" s="1" t="s">
        <v>2638</v>
      </c>
      <c r="O56" s="1" t="s">
        <v>2638</v>
      </c>
      <c r="P56" s="9"/>
      <c r="R56" s="16">
        <f ca="1">IF(ISNUMBER(SEARCH(INDIRECT(CELL("address")),S56)),MAX($R$1:R55)+1,0)</f>
        <v>55</v>
      </c>
      <c r="S56" s="18" t="str">
        <f>Table1[[#This Row],[Portico_Specialty]]&amp;"-"&amp;Table1[[#This Row],[Code]]</f>
        <v>Chiropractor: Radiology-111NR0200X</v>
      </c>
      <c r="U56" s="16" t="str">
        <f ca="1">IFERROR(VLOOKUP(ROWS($U$1:U55),$R$2:$S$918,2,FALSE),"")</f>
        <v>Chiropractor: Radiology-111NR0200X</v>
      </c>
    </row>
    <row r="57" spans="1:21" x14ac:dyDescent="0.3">
      <c r="A57" s="21" t="s">
        <v>214</v>
      </c>
      <c r="B57" s="21" t="str">
        <f>Table1[[#This Row],[Code]]&amp;" "&amp;Table1[[#This Row],[Portico_Specialty]]</f>
        <v>111NR0400X Chiropractor: Rehabilitation</v>
      </c>
      <c r="C57" s="21" t="str">
        <f>CLEAN(Table1[[#This Row],[Code]])</f>
        <v>111NR0400X</v>
      </c>
      <c r="D57" s="1" t="s">
        <v>215</v>
      </c>
      <c r="E57" s="1"/>
      <c r="F57" s="1" t="s">
        <v>2587</v>
      </c>
      <c r="G57" s="4" t="s">
        <v>2593</v>
      </c>
      <c r="H57" s="1" t="s">
        <v>2638</v>
      </c>
      <c r="I57" s="1"/>
      <c r="J57" s="1" t="s">
        <v>2638</v>
      </c>
      <c r="K57" s="1" t="s">
        <v>2638</v>
      </c>
      <c r="L57" s="1" t="s">
        <v>2638</v>
      </c>
      <c r="M57" s="1" t="s">
        <v>2638</v>
      </c>
      <c r="N57" s="1" t="s">
        <v>2638</v>
      </c>
      <c r="O57" s="1" t="s">
        <v>2638</v>
      </c>
      <c r="P57" s="9"/>
      <c r="R57" s="16">
        <f ca="1">IF(ISNUMBER(SEARCH(INDIRECT(CELL("address")),S57)),MAX($R$1:R56)+1,0)</f>
        <v>56</v>
      </c>
      <c r="S57" s="18" t="str">
        <f>Table1[[#This Row],[Portico_Specialty]]&amp;"-"&amp;Table1[[#This Row],[Code]]</f>
        <v>Chiropractor: Rehabilitation-111NR0400X</v>
      </c>
      <c r="U57" s="16" t="str">
        <f ca="1">IFERROR(VLOOKUP(ROWS($U$1:U56),$R$2:$S$918,2,FALSE),"")</f>
        <v>Chiropractor: Rehabilitation-111NR0400X</v>
      </c>
    </row>
    <row r="58" spans="1:21" x14ac:dyDescent="0.3">
      <c r="A58" s="21" t="s">
        <v>216</v>
      </c>
      <c r="B58" s="21" t="str">
        <f>Table1[[#This Row],[Code]]&amp;" "&amp;Table1[[#This Row],[Portico_Specialty]]</f>
        <v>111NS0005X Chiropractor: Sports Physician</v>
      </c>
      <c r="C58" s="21" t="str">
        <f>CLEAN(Table1[[#This Row],[Code]])</f>
        <v>111NS0005X</v>
      </c>
      <c r="D58" s="1" t="s">
        <v>217</v>
      </c>
      <c r="E58" s="1"/>
      <c r="F58" s="1" t="s">
        <v>2587</v>
      </c>
      <c r="G58" s="4" t="s">
        <v>2593</v>
      </c>
      <c r="H58" s="1" t="s">
        <v>2638</v>
      </c>
      <c r="I58" s="1"/>
      <c r="J58" s="1" t="s">
        <v>2638</v>
      </c>
      <c r="K58" s="1" t="s">
        <v>2638</v>
      </c>
      <c r="L58" s="1" t="s">
        <v>2638</v>
      </c>
      <c r="M58" s="1" t="s">
        <v>2638</v>
      </c>
      <c r="N58" s="1" t="s">
        <v>2638</v>
      </c>
      <c r="O58" s="1" t="s">
        <v>2638</v>
      </c>
      <c r="P58" s="9"/>
      <c r="R58" s="16">
        <f ca="1">IF(ISNUMBER(SEARCH(INDIRECT(CELL("address")),S58)),MAX($R$1:R57)+1,0)</f>
        <v>57</v>
      </c>
      <c r="S58" s="18" t="str">
        <f>Table1[[#This Row],[Portico_Specialty]]&amp;"-"&amp;Table1[[#This Row],[Code]]</f>
        <v>Chiropractor: Sports Physician-111NS0005X</v>
      </c>
      <c r="U58" s="16" t="str">
        <f ca="1">IFERROR(VLOOKUP(ROWS($U$1:U57),$R$2:$S$918,2,FALSE),"")</f>
        <v>Chiropractor: Sports Physician-111NS0005X</v>
      </c>
    </row>
    <row r="59" spans="1:21" x14ac:dyDescent="0.3">
      <c r="A59" s="21" t="s">
        <v>218</v>
      </c>
      <c r="B59" s="21" t="str">
        <f>Table1[[#This Row],[Code]]&amp;" "&amp;Table1[[#This Row],[Portico_Specialty]]</f>
        <v>111NT0100X Chiropractor: Thermography</v>
      </c>
      <c r="C59" s="21" t="str">
        <f>CLEAN(Table1[[#This Row],[Code]])</f>
        <v>111NT0100X</v>
      </c>
      <c r="D59" s="1" t="s">
        <v>219</v>
      </c>
      <c r="E59" s="1"/>
      <c r="F59" s="1" t="s">
        <v>2587</v>
      </c>
      <c r="G59" s="4" t="s">
        <v>2593</v>
      </c>
      <c r="H59" s="1" t="s">
        <v>2638</v>
      </c>
      <c r="I59" s="1"/>
      <c r="J59" s="1" t="s">
        <v>2638</v>
      </c>
      <c r="K59" s="1" t="s">
        <v>2638</v>
      </c>
      <c r="L59" s="1" t="s">
        <v>2638</v>
      </c>
      <c r="M59" s="1" t="s">
        <v>2638</v>
      </c>
      <c r="N59" s="1" t="s">
        <v>2638</v>
      </c>
      <c r="O59" s="1" t="s">
        <v>2638</v>
      </c>
      <c r="P59" s="9"/>
      <c r="R59" s="16">
        <f ca="1">IF(ISNUMBER(SEARCH(INDIRECT(CELL("address")),S59)),MAX($R$1:R58)+1,0)</f>
        <v>58</v>
      </c>
      <c r="S59" s="18" t="str">
        <f>Table1[[#This Row],[Portico_Specialty]]&amp;"-"&amp;Table1[[#This Row],[Code]]</f>
        <v>Chiropractor: Thermography-111NT0100X</v>
      </c>
      <c r="U59" s="16" t="str">
        <f ca="1">IFERROR(VLOOKUP(ROWS($U$1:U58),$R$2:$S$918,2,FALSE),"")</f>
        <v>Chiropractor: Thermography-111NT0100X</v>
      </c>
    </row>
    <row r="60" spans="1:21" x14ac:dyDescent="0.3">
      <c r="A60" s="21" t="s">
        <v>1801</v>
      </c>
      <c r="B60" s="21" t="str">
        <f>Table1[[#This Row],[Code]]&amp;" "&amp;Table1[[#This Row],[Portico_Specialty]]</f>
        <v>372500000X Chore Provider</v>
      </c>
      <c r="C60" s="21" t="str">
        <f>CLEAN(Table1[[#This Row],[Code]])</f>
        <v>372500000X</v>
      </c>
      <c r="D60" s="1" t="s">
        <v>1802</v>
      </c>
      <c r="E60" s="1"/>
      <c r="F60" s="1" t="s">
        <v>2587</v>
      </c>
      <c r="G60" s="3" t="s">
        <v>2588</v>
      </c>
      <c r="H60" s="1" t="s">
        <v>2591</v>
      </c>
      <c r="I60" s="1"/>
      <c r="J60" s="1" t="s">
        <v>2591</v>
      </c>
      <c r="K60" s="1" t="s">
        <v>2591</v>
      </c>
      <c r="L60" s="1"/>
      <c r="M60" s="1" t="s">
        <v>2591</v>
      </c>
      <c r="N60" s="1" t="s">
        <v>2639</v>
      </c>
      <c r="O60" s="1" t="s">
        <v>2591</v>
      </c>
      <c r="P60" s="9"/>
      <c r="R60" s="16">
        <f ca="1">IF(ISNUMBER(SEARCH(INDIRECT(CELL("address")),S60)),MAX($R$1:R59)+1,0)</f>
        <v>59</v>
      </c>
      <c r="S60" s="18" t="str">
        <f>Table1[[#This Row],[Portico_Specialty]]&amp;"-"&amp;Table1[[#This Row],[Code]]</f>
        <v>Chore Provider-372500000X</v>
      </c>
      <c r="U60" s="16" t="str">
        <f ca="1">IFERROR(VLOOKUP(ROWS($U$1:U59),$R$2:$S$918,2,FALSE),"")</f>
        <v>Chore Provider-372500000X</v>
      </c>
    </row>
    <row r="61" spans="1:21" x14ac:dyDescent="0.3">
      <c r="A61" s="21" t="s">
        <v>1571</v>
      </c>
      <c r="B61" s="21" t="str">
        <f>Table1[[#This Row],[Code]]&amp;" "&amp;Table1[[#This Row],[Portico_Specialty]]</f>
        <v>317400000X Christian Science Facility</v>
      </c>
      <c r="C61" s="21" t="str">
        <f>CLEAN(Table1[[#This Row],[Code]])</f>
        <v>317400000X</v>
      </c>
      <c r="D61" s="1" t="s">
        <v>1572</v>
      </c>
      <c r="E61" s="1"/>
      <c r="F61" s="1" t="s">
        <v>2587</v>
      </c>
      <c r="G61" s="3" t="s">
        <v>2588</v>
      </c>
      <c r="H61" s="1" t="s">
        <v>2598</v>
      </c>
      <c r="I61" s="1"/>
      <c r="J61" s="1" t="s">
        <v>2598</v>
      </c>
      <c r="K61" s="1" t="s">
        <v>2598</v>
      </c>
      <c r="L61" s="1" t="s">
        <v>2598</v>
      </c>
      <c r="M61" s="1" t="s">
        <v>2640</v>
      </c>
      <c r="N61" s="1" t="s">
        <v>2599</v>
      </c>
      <c r="O61" s="1" t="s">
        <v>2598</v>
      </c>
      <c r="P61" s="9"/>
      <c r="R61" s="16">
        <f ca="1">IF(ISNUMBER(SEARCH(INDIRECT(CELL("address")),S61)),MAX($R$1:R60)+1,0)</f>
        <v>60</v>
      </c>
      <c r="S61" s="18" t="str">
        <f>Table1[[#This Row],[Portico_Specialty]]&amp;"-"&amp;Table1[[#This Row],[Code]]</f>
        <v>Christian Science Facility-317400000X</v>
      </c>
      <c r="U61" s="16" t="str">
        <f ca="1">IFERROR(VLOOKUP(ROWS($U$1:U60),$R$2:$S$918,2,FALSE),"")</f>
        <v>Christian Science Facility-317400000X</v>
      </c>
    </row>
    <row r="62" spans="1:21" x14ac:dyDescent="0.3">
      <c r="A62" s="21" t="s">
        <v>1817</v>
      </c>
      <c r="B62" s="21" t="str">
        <f>Table1[[#This Row],[Code]]&amp;" "&amp;Table1[[#This Row],[Portico_Specialty]]</f>
        <v>374T00000X Christian Science Practitioner/Nurse</v>
      </c>
      <c r="C62" s="21" t="str">
        <f>CLEAN(Table1[[#This Row],[Code]])</f>
        <v>374T00000X</v>
      </c>
      <c r="D62" s="1" t="s">
        <v>1818</v>
      </c>
      <c r="E62" s="1"/>
      <c r="F62" s="1" t="s">
        <v>2587</v>
      </c>
      <c r="G62" s="3" t="s">
        <v>2588</v>
      </c>
      <c r="H62" s="1" t="s">
        <v>2615</v>
      </c>
      <c r="I62" s="1"/>
      <c r="J62" s="1" t="s">
        <v>2598</v>
      </c>
      <c r="K62" s="1" t="s">
        <v>2641</v>
      </c>
      <c r="L62" s="1"/>
      <c r="M62" s="1" t="s">
        <v>2640</v>
      </c>
      <c r="N62" s="1"/>
      <c r="O62" s="1" t="s">
        <v>2641</v>
      </c>
      <c r="P62" s="9"/>
      <c r="R62" s="16">
        <f ca="1">IF(ISNUMBER(SEARCH(INDIRECT(CELL("address")),S62)),MAX($R$1:R61)+1,0)</f>
        <v>61</v>
      </c>
      <c r="S62" s="18" t="str">
        <f>Table1[[#This Row],[Portico_Specialty]]&amp;"-"&amp;Table1[[#This Row],[Code]]</f>
        <v>Christian Science Practitioner/Nurse-374T00000X</v>
      </c>
      <c r="U62" s="16" t="str">
        <f ca="1">IFERROR(VLOOKUP(ROWS($U$1:U61),$R$2:$S$918,2,FALSE),"")</f>
        <v>Christian Science Practitioner/Nurse-374T00000X</v>
      </c>
    </row>
    <row r="63" spans="1:21" x14ac:dyDescent="0.3">
      <c r="A63" s="21" t="s">
        <v>1529</v>
      </c>
      <c r="B63" s="21" t="str">
        <f>Table1[[#This Row],[Code]]&amp;" "&amp;Table1[[#This Row],[Portico_Specialty]]</f>
        <v>287300000X Christian Science Sanitorium</v>
      </c>
      <c r="C63" s="21" t="str">
        <f>CLEAN(Table1[[#This Row],[Code]])</f>
        <v>287300000X</v>
      </c>
      <c r="D63" s="1" t="s">
        <v>1530</v>
      </c>
      <c r="E63" s="1"/>
      <c r="F63" s="1" t="s">
        <v>2587</v>
      </c>
      <c r="G63" s="3" t="s">
        <v>2588</v>
      </c>
      <c r="H63" s="1" t="s">
        <v>2642</v>
      </c>
      <c r="I63" s="1"/>
      <c r="J63" s="1" t="s">
        <v>2642</v>
      </c>
      <c r="K63" s="1" t="s">
        <v>2642</v>
      </c>
      <c r="L63" s="1" t="s">
        <v>2642</v>
      </c>
      <c r="M63" s="1" t="s">
        <v>2640</v>
      </c>
      <c r="N63" s="1" t="s">
        <v>2643</v>
      </c>
      <c r="O63" s="1" t="s">
        <v>2642</v>
      </c>
      <c r="P63" s="9"/>
      <c r="R63" s="16">
        <f ca="1">IF(ISNUMBER(SEARCH(INDIRECT(CELL("address")),S63)),MAX($R$1:R62)+1,0)</f>
        <v>62</v>
      </c>
      <c r="S63" s="18" t="str">
        <f>Table1[[#This Row],[Portico_Specialty]]&amp;"-"&amp;Table1[[#This Row],[Code]]</f>
        <v>Christian Science Sanitorium-287300000X</v>
      </c>
      <c r="U63" s="16" t="str">
        <f ca="1">IFERROR(VLOOKUP(ROWS($U$1:U62),$R$2:$S$918,2,FALSE),"")</f>
        <v>Christian Science Sanitorium-287300000X</v>
      </c>
    </row>
    <row r="64" spans="1:21" x14ac:dyDescent="0.3">
      <c r="A64" s="21" t="s">
        <v>1495</v>
      </c>
      <c r="B64" s="21" t="str">
        <f>Table1[[#This Row],[Code]]&amp;" "&amp;Table1[[#This Row],[Portico_Specialty]]</f>
        <v>281P00000X Chronic Disease Hospital</v>
      </c>
      <c r="C64" s="21" t="str">
        <f>CLEAN(Table1[[#This Row],[Code]])</f>
        <v>281P00000X</v>
      </c>
      <c r="D64" s="1" t="s">
        <v>1496</v>
      </c>
      <c r="E64" s="1"/>
      <c r="F64" s="1" t="s">
        <v>2587</v>
      </c>
      <c r="G64" s="3" t="s">
        <v>2588</v>
      </c>
      <c r="H64" s="1" t="s">
        <v>2642</v>
      </c>
      <c r="I64" s="1"/>
      <c r="J64" s="1" t="s">
        <v>2642</v>
      </c>
      <c r="K64" s="1" t="s">
        <v>2642</v>
      </c>
      <c r="L64" s="1" t="s">
        <v>2642</v>
      </c>
      <c r="M64" s="1" t="s">
        <v>2642</v>
      </c>
      <c r="N64" s="1"/>
      <c r="O64" s="1" t="s">
        <v>2642</v>
      </c>
      <c r="P64" s="9"/>
      <c r="R64" s="16">
        <f ca="1">IF(ISNUMBER(SEARCH(INDIRECT(CELL("address")),S64)),MAX($R$1:R63)+1,0)</f>
        <v>63</v>
      </c>
      <c r="S64" s="18" t="str">
        <f>Table1[[#This Row],[Portico_Specialty]]&amp;"-"&amp;Table1[[#This Row],[Code]]</f>
        <v>Chronic Disease Hospital-281P00000X</v>
      </c>
      <c r="U64" s="16" t="str">
        <f ca="1">IFERROR(VLOOKUP(ROWS($U$1:U63),$R$2:$S$918,2,FALSE),"")</f>
        <v>Chronic Disease Hospital-281P00000X</v>
      </c>
    </row>
    <row r="65" spans="1:21" x14ac:dyDescent="0.3">
      <c r="A65" s="21" t="s">
        <v>1497</v>
      </c>
      <c r="B65" s="21" t="str">
        <f>Table1[[#This Row],[Code]]&amp;" "&amp;Table1[[#This Row],[Portico_Specialty]]</f>
        <v>281PC2000X Chronic Disease Hospital: Children</v>
      </c>
      <c r="C65" s="21" t="str">
        <f>CLEAN(Table1[[#This Row],[Code]])</f>
        <v>281PC2000X</v>
      </c>
      <c r="D65" s="1" t="s">
        <v>1498</v>
      </c>
      <c r="E65" s="1"/>
      <c r="F65" s="1" t="s">
        <v>2587</v>
      </c>
      <c r="G65" s="3" t="s">
        <v>2588</v>
      </c>
      <c r="H65" s="1" t="s">
        <v>2642</v>
      </c>
      <c r="I65" s="1"/>
      <c r="J65" s="1" t="s">
        <v>2642</v>
      </c>
      <c r="K65" s="1" t="s">
        <v>2642</v>
      </c>
      <c r="L65" s="1" t="s">
        <v>2642</v>
      </c>
      <c r="M65" s="1" t="s">
        <v>2642</v>
      </c>
      <c r="N65" s="1"/>
      <c r="O65" s="1" t="s">
        <v>2642</v>
      </c>
      <c r="P65" s="9"/>
      <c r="R65" s="16">
        <f ca="1">IF(ISNUMBER(SEARCH(INDIRECT(CELL("address")),S65)),MAX($R$1:R64)+1,0)</f>
        <v>64</v>
      </c>
      <c r="S65" s="18" t="str">
        <f>Table1[[#This Row],[Portico_Specialty]]&amp;"-"&amp;Table1[[#This Row],[Code]]</f>
        <v>Chronic Disease Hospital: Children-281PC2000X</v>
      </c>
      <c r="U65" s="16" t="str">
        <f ca="1">IFERROR(VLOOKUP(ROWS($U$1:U64),$R$2:$S$918,2,FALSE),"")</f>
        <v>Chronic Disease Hospital: Children-281PC2000X</v>
      </c>
    </row>
    <row r="66" spans="1:21" x14ac:dyDescent="0.3">
      <c r="A66" s="21" t="s">
        <v>1359</v>
      </c>
      <c r="B66" s="21" t="str">
        <f>Table1[[#This Row],[Code]]&amp;" "&amp;Table1[[#This Row],[Portico_Specialty]]</f>
        <v>261Q00000X Clinic/Center</v>
      </c>
      <c r="C66" s="21" t="str">
        <f>CLEAN(Table1[[#This Row],[Code]])</f>
        <v>261Q00000X</v>
      </c>
      <c r="D66" s="1" t="s">
        <v>1360</v>
      </c>
      <c r="E66" s="1"/>
      <c r="F66" s="4" t="s">
        <v>2619</v>
      </c>
      <c r="G66" s="4" t="s">
        <v>2593</v>
      </c>
      <c r="H66" s="1" t="s">
        <v>2621</v>
      </c>
      <c r="I66" s="1"/>
      <c r="J66" s="1" t="s">
        <v>2621</v>
      </c>
      <c r="K66" s="1" t="s">
        <v>2621</v>
      </c>
      <c r="L66" s="1" t="s">
        <v>2621</v>
      </c>
      <c r="M66" s="1" t="s">
        <v>2621</v>
      </c>
      <c r="N66" s="1" t="s">
        <v>2621</v>
      </c>
      <c r="O66" s="1" t="s">
        <v>2621</v>
      </c>
      <c r="P66" s="9"/>
      <c r="R66" s="16">
        <f ca="1">IF(ISNUMBER(SEARCH(INDIRECT(CELL("address")),S66)),MAX($R$1:R65)+1,0)</f>
        <v>65</v>
      </c>
      <c r="S66" s="18" t="str">
        <f>Table1[[#This Row],[Portico_Specialty]]&amp;"-"&amp;Table1[[#This Row],[Code]]</f>
        <v>Clinic/Center-261Q00000X</v>
      </c>
      <c r="U66" s="16" t="str">
        <f ca="1">IFERROR(VLOOKUP(ROWS($U$1:U65),$R$2:$S$918,2,FALSE),"")</f>
        <v>Clinic/Center-261Q00000X</v>
      </c>
    </row>
    <row r="67" spans="1:21" ht="30.75" x14ac:dyDescent="0.3">
      <c r="A67" s="21" t="s">
        <v>1409</v>
      </c>
      <c r="B67" s="21" t="str">
        <f>Table1[[#This Row],[Code]]&amp;" "&amp;Table1[[#This Row],[Portico_Specialty]]</f>
        <v>261QM0855X Clinic/Center: Adolescent and Children Mental Health</v>
      </c>
      <c r="C67" s="21" t="str">
        <f>CLEAN(Table1[[#This Row],[Code]])</f>
        <v>261QM0855X</v>
      </c>
      <c r="D67" s="1" t="s">
        <v>1410</v>
      </c>
      <c r="E67" s="1"/>
      <c r="F67" s="1" t="s">
        <v>2587</v>
      </c>
      <c r="G67" s="3" t="s">
        <v>2588</v>
      </c>
      <c r="H67" s="1" t="s">
        <v>2621</v>
      </c>
      <c r="I67" s="1"/>
      <c r="J67" s="1" t="s">
        <v>2621</v>
      </c>
      <c r="K67" s="1" t="s">
        <v>2621</v>
      </c>
      <c r="L67" s="1" t="s">
        <v>2622</v>
      </c>
      <c r="M67" s="1" t="s">
        <v>2621</v>
      </c>
      <c r="N67" s="1" t="s">
        <v>2621</v>
      </c>
      <c r="O67" s="1" t="s">
        <v>2621</v>
      </c>
      <c r="P67" s="9"/>
      <c r="R67" s="16">
        <f ca="1">IF(ISNUMBER(SEARCH(INDIRECT(CELL("address")),S67)),MAX($R$1:R66)+1,0)</f>
        <v>66</v>
      </c>
      <c r="S67" s="18" t="str">
        <f>Table1[[#This Row],[Portico_Specialty]]&amp;"-"&amp;Table1[[#This Row],[Code]]</f>
        <v>Clinic/Center: Adolescent and Children Mental Health-261QM0855X</v>
      </c>
      <c r="U67" s="16" t="str">
        <f ca="1">IFERROR(VLOOKUP(ROWS($U$1:U66),$R$2:$S$918,2,FALSE),"")</f>
        <v>Clinic/Center: Adolescent and Children Mental Health-261QM0855X</v>
      </c>
    </row>
    <row r="68" spans="1:21" x14ac:dyDescent="0.3">
      <c r="A68" s="21" t="s">
        <v>1365</v>
      </c>
      <c r="B68" s="21" t="str">
        <f>Table1[[#This Row],[Code]]&amp;" "&amp;Table1[[#This Row],[Portico_Specialty]]</f>
        <v>261QA0600X Clinic/Center: Adult Day Care</v>
      </c>
      <c r="C68" s="21" t="str">
        <f>CLEAN(Table1[[#This Row],[Code]])</f>
        <v>261QA0600X</v>
      </c>
      <c r="D68" s="1" t="s">
        <v>1366</v>
      </c>
      <c r="E68" s="1"/>
      <c r="F68" s="1" t="s">
        <v>2587</v>
      </c>
      <c r="G68" s="3" t="s">
        <v>2588</v>
      </c>
      <c r="H68" s="1" t="s">
        <v>2621</v>
      </c>
      <c r="I68" s="1"/>
      <c r="J68" s="1" t="s">
        <v>2621</v>
      </c>
      <c r="K68" s="1" t="s">
        <v>2621</v>
      </c>
      <c r="L68" s="1" t="s">
        <v>2621</v>
      </c>
      <c r="M68" s="1" t="s">
        <v>2621</v>
      </c>
      <c r="N68" s="1" t="s">
        <v>2621</v>
      </c>
      <c r="O68" s="1" t="s">
        <v>2621</v>
      </c>
      <c r="P68" s="9"/>
      <c r="R68" s="16">
        <f ca="1">IF(ISNUMBER(SEARCH(INDIRECT(CELL("address")),S68)),MAX($R$1:R67)+1,0)</f>
        <v>67</v>
      </c>
      <c r="S68" s="18" t="str">
        <f>Table1[[#This Row],[Portico_Specialty]]&amp;"-"&amp;Table1[[#This Row],[Code]]</f>
        <v>Clinic/Center: Adult Day Care-261QA0600X</v>
      </c>
      <c r="U68" s="16" t="str">
        <f ca="1">IFERROR(VLOOKUP(ROWS($U$1:U67),$R$2:$S$918,2,FALSE),"")</f>
        <v>Clinic/Center: Adult Day Care-261QA0600X</v>
      </c>
    </row>
    <row r="69" spans="1:21" x14ac:dyDescent="0.3">
      <c r="A69" s="21" t="s">
        <v>1407</v>
      </c>
      <c r="B69" s="21" t="str">
        <f>Table1[[#This Row],[Code]]&amp;" "&amp;Table1[[#This Row],[Portico_Specialty]]</f>
        <v>261QM0850X Clinic/Center: Adult Mental Health</v>
      </c>
      <c r="C69" s="21" t="str">
        <f>CLEAN(Table1[[#This Row],[Code]])</f>
        <v>261QM0850X</v>
      </c>
      <c r="D69" s="1" t="s">
        <v>1408</v>
      </c>
      <c r="E69" s="1"/>
      <c r="F69" s="1" t="s">
        <v>2607</v>
      </c>
      <c r="G69" s="3" t="s">
        <v>2588</v>
      </c>
      <c r="H69" s="1" t="s">
        <v>2621</v>
      </c>
      <c r="I69" s="1"/>
      <c r="J69" s="1" t="s">
        <v>2621</v>
      </c>
      <c r="K69" s="1" t="s">
        <v>2621</v>
      </c>
      <c r="L69" s="1" t="s">
        <v>2622</v>
      </c>
      <c r="M69" s="1" t="s">
        <v>2621</v>
      </c>
      <c r="N69" s="1" t="s">
        <v>2621</v>
      </c>
      <c r="O69" s="1" t="s">
        <v>2621</v>
      </c>
      <c r="P69" s="9"/>
      <c r="R69" s="16">
        <f ca="1">IF(ISNUMBER(SEARCH(INDIRECT(CELL("address")),S69)),MAX($R$1:R68)+1,0)</f>
        <v>68</v>
      </c>
      <c r="S69" s="18" t="str">
        <f>Table1[[#This Row],[Portico_Specialty]]&amp;"-"&amp;Table1[[#This Row],[Code]]</f>
        <v>Clinic/Center: Adult Mental Health-261QM0850X</v>
      </c>
      <c r="U69" s="16" t="str">
        <f ca="1">IFERROR(VLOOKUP(ROWS($U$1:U68),$R$2:$S$918,2,FALSE),"")</f>
        <v>Clinic/Center: Adult Mental Health-261QM0850X</v>
      </c>
    </row>
    <row r="70" spans="1:21" ht="30.75" x14ac:dyDescent="0.3">
      <c r="A70" s="21" t="s">
        <v>1361</v>
      </c>
      <c r="B70" s="21" t="str">
        <f>Table1[[#This Row],[Code]]&amp;" "&amp;Table1[[#This Row],[Portico_Specialty]]</f>
        <v>261QA0005X Clinic/Center: Ambulatory Family Planning Facility</v>
      </c>
      <c r="C70" s="21" t="str">
        <f>CLEAN(Table1[[#This Row],[Code]])</f>
        <v>261QA0005X</v>
      </c>
      <c r="D70" s="1" t="s">
        <v>1362</v>
      </c>
      <c r="E70" s="1"/>
      <c r="F70" s="1" t="s">
        <v>2587</v>
      </c>
      <c r="G70" s="3" t="s">
        <v>2588</v>
      </c>
      <c r="H70" s="1" t="s">
        <v>2644</v>
      </c>
      <c r="I70" s="1"/>
      <c r="J70" s="1" t="s">
        <v>2644</v>
      </c>
      <c r="K70" s="1" t="s">
        <v>2621</v>
      </c>
      <c r="L70" s="1" t="s">
        <v>2621</v>
      </c>
      <c r="M70" s="1" t="s">
        <v>2644</v>
      </c>
      <c r="N70" s="1" t="s">
        <v>2621</v>
      </c>
      <c r="O70" s="1" t="s">
        <v>2621</v>
      </c>
      <c r="P70" s="9"/>
      <c r="R70" s="16">
        <f ca="1">IF(ISNUMBER(SEARCH(INDIRECT(CELL("address")),S70)),MAX($R$1:R69)+1,0)</f>
        <v>69</v>
      </c>
      <c r="S70" s="18" t="str">
        <f>Table1[[#This Row],[Portico_Specialty]]&amp;"-"&amp;Table1[[#This Row],[Code]]</f>
        <v>Clinic/Center: Ambulatory Family Planning Facility-261QA0005X</v>
      </c>
      <c r="U70" s="16" t="str">
        <f ca="1">IFERROR(VLOOKUP(ROWS($U$1:U69),$R$2:$S$918,2,FALSE),"")</f>
        <v>Clinic/Center: Ambulatory Family Planning Facility-261QA0005X</v>
      </c>
    </row>
    <row r="71" spans="1:21" x14ac:dyDescent="0.3">
      <c r="A71" s="21" t="s">
        <v>1363</v>
      </c>
      <c r="B71" s="21" t="str">
        <f>Table1[[#This Row],[Code]]&amp;" "&amp;Table1[[#This Row],[Portico_Specialty]]</f>
        <v>261QA0006X Clinic/Center: Ambulatory Fertility Facility</v>
      </c>
      <c r="C71" s="21" t="str">
        <f>CLEAN(Table1[[#This Row],[Code]])</f>
        <v>261QA0006X</v>
      </c>
      <c r="D71" s="1" t="s">
        <v>1364</v>
      </c>
      <c r="E71" s="1"/>
      <c r="F71" s="1" t="s">
        <v>2587</v>
      </c>
      <c r="G71" s="3" t="s">
        <v>2588</v>
      </c>
      <c r="H71" s="1" t="s">
        <v>2621</v>
      </c>
      <c r="I71" s="1"/>
      <c r="J71" s="1" t="s">
        <v>2621</v>
      </c>
      <c r="K71" s="1" t="s">
        <v>2621</v>
      </c>
      <c r="L71" s="1" t="s">
        <v>2621</v>
      </c>
      <c r="M71" s="1" t="s">
        <v>2621</v>
      </c>
      <c r="N71" s="1" t="s">
        <v>2621</v>
      </c>
      <c r="O71" s="1" t="s">
        <v>2621</v>
      </c>
      <c r="P71" s="9"/>
      <c r="R71" s="16">
        <f ca="1">IF(ISNUMBER(SEARCH(INDIRECT(CELL("address")),S71)),MAX($R$1:R70)+1,0)</f>
        <v>70</v>
      </c>
      <c r="S71" s="18" t="str">
        <f>Table1[[#This Row],[Portico_Specialty]]&amp;"-"&amp;Table1[[#This Row],[Code]]</f>
        <v>Clinic/Center: Ambulatory Fertility Facility-261QA0006X</v>
      </c>
      <c r="U71" s="16" t="str">
        <f ca="1">IFERROR(VLOOKUP(ROWS($U$1:U70),$R$2:$S$918,2,FALSE),"")</f>
        <v>Clinic/Center: Ambulatory Fertility Facility-261QA0006X</v>
      </c>
    </row>
    <row r="72" spans="1:21" x14ac:dyDescent="0.3">
      <c r="A72" s="21" t="s">
        <v>1369</v>
      </c>
      <c r="B72" s="21" t="str">
        <f>Table1[[#This Row],[Code]]&amp;" "&amp;Table1[[#This Row],[Portico_Specialty]]</f>
        <v>261QA1903X Clinic/Center: Ambulatory Surgical</v>
      </c>
      <c r="C72" s="21" t="str">
        <f>CLEAN(Table1[[#This Row],[Code]])</f>
        <v>261QA1903X</v>
      </c>
      <c r="D72" s="1" t="s">
        <v>1370</v>
      </c>
      <c r="E72" s="1"/>
      <c r="F72" s="1" t="s">
        <v>2587</v>
      </c>
      <c r="G72" s="4" t="s">
        <v>2593</v>
      </c>
      <c r="H72" s="1" t="s">
        <v>2645</v>
      </c>
      <c r="I72" s="1"/>
      <c r="J72" s="1" t="s">
        <v>2645</v>
      </c>
      <c r="K72" s="1" t="s">
        <v>2621</v>
      </c>
      <c r="L72" s="1" t="s">
        <v>2645</v>
      </c>
      <c r="M72" s="1" t="s">
        <v>2645</v>
      </c>
      <c r="N72" s="1" t="s">
        <v>2645</v>
      </c>
      <c r="O72" s="1" t="s">
        <v>2621</v>
      </c>
      <c r="P72" s="9"/>
      <c r="R72" s="16">
        <f ca="1">IF(ISNUMBER(SEARCH(INDIRECT(CELL("address")),S72)),MAX($R$1:R71)+1,0)</f>
        <v>71</v>
      </c>
      <c r="S72" s="18" t="str">
        <f>Table1[[#This Row],[Portico_Specialty]]&amp;"-"&amp;Table1[[#This Row],[Code]]</f>
        <v>Clinic/Center: Ambulatory Surgical-261QA1903X</v>
      </c>
      <c r="U72" s="16" t="str">
        <f ca="1">IFERROR(VLOOKUP(ROWS($U$1:U71),$R$2:$S$918,2,FALSE),"")</f>
        <v>Clinic/Center: Ambulatory Surgical-261QA1903X</v>
      </c>
    </row>
    <row r="73" spans="1:21" x14ac:dyDescent="0.3">
      <c r="A73" s="21" t="s">
        <v>1367</v>
      </c>
      <c r="B73" s="21" t="str">
        <f>Table1[[#This Row],[Code]]&amp;" "&amp;Table1[[#This Row],[Portico_Specialty]]</f>
        <v>261QA0900X Clinic/Center: Amputee</v>
      </c>
      <c r="C73" s="21" t="str">
        <f>CLEAN(Table1[[#This Row],[Code]])</f>
        <v>261QA0900X</v>
      </c>
      <c r="D73" s="1" t="s">
        <v>1368</v>
      </c>
      <c r="E73" s="1"/>
      <c r="F73" s="1" t="s">
        <v>2587</v>
      </c>
      <c r="G73" s="3" t="s">
        <v>2588</v>
      </c>
      <c r="H73" s="1" t="s">
        <v>2621</v>
      </c>
      <c r="I73" s="1"/>
      <c r="J73" s="1" t="s">
        <v>2621</v>
      </c>
      <c r="K73" s="1" t="s">
        <v>2621</v>
      </c>
      <c r="L73" s="1" t="s">
        <v>2621</v>
      </c>
      <c r="M73" s="1" t="s">
        <v>2621</v>
      </c>
      <c r="N73" s="1" t="s">
        <v>2621</v>
      </c>
      <c r="O73" s="1" t="s">
        <v>2621</v>
      </c>
      <c r="P73" s="9"/>
      <c r="R73" s="16">
        <f ca="1">IF(ISNUMBER(SEARCH(INDIRECT(CELL("address")),S73)),MAX($R$1:R72)+1,0)</f>
        <v>72</v>
      </c>
      <c r="S73" s="18" t="str">
        <f>Table1[[#This Row],[Portico_Specialty]]&amp;"-"&amp;Table1[[#This Row],[Code]]</f>
        <v>Clinic/Center: Amputee-261QA0900X</v>
      </c>
      <c r="U73" s="16" t="str">
        <f ca="1">IFERROR(VLOOKUP(ROWS($U$1:U72),$R$2:$S$918,2,FALSE),"")</f>
        <v>Clinic/Center: Amputee-261QA0900X</v>
      </c>
    </row>
    <row r="74" spans="1:21" ht="30.75" x14ac:dyDescent="0.3">
      <c r="A74" s="21" t="s">
        <v>1371</v>
      </c>
      <c r="B74" s="21" t="str">
        <f>Table1[[#This Row],[Code]]&amp;" "&amp;Table1[[#This Row],[Portico_Specialty]]</f>
        <v>261QA3000X Clinic/Center: Augmentative Communication</v>
      </c>
      <c r="C74" s="21" t="str">
        <f>CLEAN(Table1[[#This Row],[Code]])</f>
        <v>261QA3000X</v>
      </c>
      <c r="D74" s="1" t="s">
        <v>1372</v>
      </c>
      <c r="E74" s="1"/>
      <c r="F74" s="1" t="s">
        <v>2587</v>
      </c>
      <c r="G74" s="3" t="s">
        <v>2588</v>
      </c>
      <c r="H74" s="1" t="s">
        <v>2621</v>
      </c>
      <c r="I74" s="1"/>
      <c r="J74" s="1" t="s">
        <v>2621</v>
      </c>
      <c r="K74" s="1" t="s">
        <v>2621</v>
      </c>
      <c r="L74" s="1" t="s">
        <v>2621</v>
      </c>
      <c r="M74" s="1" t="s">
        <v>2621</v>
      </c>
      <c r="N74" s="1" t="s">
        <v>2621</v>
      </c>
      <c r="O74" s="1" t="s">
        <v>2621</v>
      </c>
      <c r="P74" s="9"/>
      <c r="R74" s="16">
        <f ca="1">IF(ISNUMBER(SEARCH(INDIRECT(CELL("address")),S74)),MAX($R$1:R73)+1,0)</f>
        <v>73</v>
      </c>
      <c r="S74" s="18" t="str">
        <f>Table1[[#This Row],[Portico_Specialty]]&amp;"-"&amp;Table1[[#This Row],[Code]]</f>
        <v>Clinic/Center: Augmentative Communication-261QA3000X</v>
      </c>
      <c r="U74" s="16" t="str">
        <f ca="1">IFERROR(VLOOKUP(ROWS($U$1:U73),$R$2:$S$918,2,FALSE),"")</f>
        <v>Clinic/Center: Augmentative Communication-261QA3000X</v>
      </c>
    </row>
    <row r="75" spans="1:21" x14ac:dyDescent="0.3">
      <c r="A75" s="21" t="s">
        <v>1373</v>
      </c>
      <c r="B75" s="21" t="str">
        <f>Table1[[#This Row],[Code]]&amp;" "&amp;Table1[[#This Row],[Portico_Specialty]]</f>
        <v>261QB0400X Clinic/Center: Birthing</v>
      </c>
      <c r="C75" s="21" t="str">
        <f>CLEAN(Table1[[#This Row],[Code]])</f>
        <v>261QB0400X</v>
      </c>
      <c r="D75" s="1" t="s">
        <v>1374</v>
      </c>
      <c r="E75" s="1"/>
      <c r="F75" s="1" t="s">
        <v>2587</v>
      </c>
      <c r="G75" s="3" t="s">
        <v>2588</v>
      </c>
      <c r="H75" s="1" t="s">
        <v>2646</v>
      </c>
      <c r="I75" s="1"/>
      <c r="J75" s="1" t="s">
        <v>2621</v>
      </c>
      <c r="K75" s="1" t="s">
        <v>2621</v>
      </c>
      <c r="L75" s="1" t="s">
        <v>2621</v>
      </c>
      <c r="M75" s="1" t="s">
        <v>2621</v>
      </c>
      <c r="N75" s="1" t="s">
        <v>2621</v>
      </c>
      <c r="O75" s="1" t="s">
        <v>2621</v>
      </c>
      <c r="P75" s="9"/>
      <c r="R75" s="16">
        <f ca="1">IF(ISNUMBER(SEARCH(INDIRECT(CELL("address")),S75)),MAX($R$1:R74)+1,0)</f>
        <v>74</v>
      </c>
      <c r="S75" s="18" t="str">
        <f>Table1[[#This Row],[Portico_Specialty]]&amp;"-"&amp;Table1[[#This Row],[Code]]</f>
        <v>Clinic/Center: Birthing-261QB0400X</v>
      </c>
      <c r="U75" s="16" t="str">
        <f ca="1">IFERROR(VLOOKUP(ROWS($U$1:U74),$R$2:$S$918,2,FALSE),"")</f>
        <v>Clinic/Center: Birthing-261QB0400X</v>
      </c>
    </row>
    <row r="76" spans="1:21" x14ac:dyDescent="0.3">
      <c r="A76" s="21" t="s">
        <v>1377</v>
      </c>
      <c r="B76" s="21" t="str">
        <f>Table1[[#This Row],[Code]]&amp;" "&amp;Table1[[#This Row],[Portico_Specialty]]</f>
        <v>261QC1500X Clinic/Center: Community Health</v>
      </c>
      <c r="C76" s="21" t="str">
        <f>CLEAN(Table1[[#This Row],[Code]])</f>
        <v>261QC1500X</v>
      </c>
      <c r="D76" s="1" t="s">
        <v>1378</v>
      </c>
      <c r="E76" s="1"/>
      <c r="F76" s="4" t="s">
        <v>2619</v>
      </c>
      <c r="G76" s="3" t="s">
        <v>2588</v>
      </c>
      <c r="H76" s="1" t="s">
        <v>2621</v>
      </c>
      <c r="I76" s="1"/>
      <c r="J76" s="1" t="s">
        <v>2621</v>
      </c>
      <c r="K76" s="1" t="s">
        <v>2621</v>
      </c>
      <c r="L76" s="1" t="s">
        <v>2621</v>
      </c>
      <c r="M76" s="1" t="s">
        <v>2621</v>
      </c>
      <c r="N76" s="1" t="s">
        <v>2621</v>
      </c>
      <c r="O76" s="1" t="s">
        <v>2621</v>
      </c>
      <c r="P76" s="9"/>
      <c r="R76" s="16">
        <f ca="1">IF(ISNUMBER(SEARCH(INDIRECT(CELL("address")),S76)),MAX($R$1:R75)+1,0)</f>
        <v>75</v>
      </c>
      <c r="S76" s="18" t="str">
        <f>Table1[[#This Row],[Portico_Specialty]]&amp;"-"&amp;Table1[[#This Row],[Code]]</f>
        <v>Clinic/Center: Community Health-261QC1500X</v>
      </c>
      <c r="U76" s="16" t="str">
        <f ca="1">IFERROR(VLOOKUP(ROWS($U$1:U75),$R$2:$S$918,2,FALSE),"")</f>
        <v>Clinic/Center: Community Health-261QC1500X</v>
      </c>
    </row>
    <row r="77" spans="1:21" x14ac:dyDescent="0.3">
      <c r="A77" s="21" t="s">
        <v>1379</v>
      </c>
      <c r="B77" s="21" t="str">
        <f>Table1[[#This Row],[Code]]&amp;" "&amp;Table1[[#This Row],[Portico_Specialty]]</f>
        <v>261QC1800X Clinic/Center: Corporate Health</v>
      </c>
      <c r="C77" s="21" t="str">
        <f>CLEAN(Table1[[#This Row],[Code]])</f>
        <v>261QC1800X</v>
      </c>
      <c r="D77" s="1" t="s">
        <v>1380</v>
      </c>
      <c r="E77" s="1"/>
      <c r="F77" s="1" t="s">
        <v>2587</v>
      </c>
      <c r="G77" s="3" t="s">
        <v>2588</v>
      </c>
      <c r="H77" s="1" t="s">
        <v>2621</v>
      </c>
      <c r="I77" s="1"/>
      <c r="J77" s="1" t="s">
        <v>2621</v>
      </c>
      <c r="K77" s="1" t="s">
        <v>2621</v>
      </c>
      <c r="L77" s="1" t="s">
        <v>2621</v>
      </c>
      <c r="M77" s="1" t="s">
        <v>2621</v>
      </c>
      <c r="N77" s="1" t="s">
        <v>2621</v>
      </c>
      <c r="O77" s="1" t="s">
        <v>2621</v>
      </c>
      <c r="P77" s="9"/>
      <c r="R77" s="16">
        <f ca="1">IF(ISNUMBER(SEARCH(INDIRECT(CELL("address")),S77)),MAX($R$1:R76)+1,0)</f>
        <v>76</v>
      </c>
      <c r="S77" s="18" t="str">
        <f>Table1[[#This Row],[Portico_Specialty]]&amp;"-"&amp;Table1[[#This Row],[Code]]</f>
        <v>Clinic/Center: Corporate Health-261QC1800X</v>
      </c>
      <c r="U77" s="16" t="str">
        <f ca="1">IFERROR(VLOOKUP(ROWS($U$1:U76),$R$2:$S$918,2,FALSE),"")</f>
        <v>Clinic/Center: Corporate Health-261QC1800X</v>
      </c>
    </row>
    <row r="78" spans="1:21" x14ac:dyDescent="0.3">
      <c r="A78" s="21" t="s">
        <v>1375</v>
      </c>
      <c r="B78" s="21" t="str">
        <f>Table1[[#This Row],[Code]]&amp;" "&amp;Table1[[#This Row],[Portico_Specialty]]</f>
        <v>261QC0050X Clinic/Center: Critical Access Hospital</v>
      </c>
      <c r="C78" s="21" t="str">
        <f>CLEAN(Table1[[#This Row],[Code]])</f>
        <v>261QC0050X</v>
      </c>
      <c r="D78" s="1" t="s">
        <v>1376</v>
      </c>
      <c r="E78" s="1" t="s">
        <v>2647</v>
      </c>
      <c r="F78" s="4" t="s">
        <v>2619</v>
      </c>
      <c r="G78" s="3" t="s">
        <v>2588</v>
      </c>
      <c r="H78" s="1" t="s">
        <v>2642</v>
      </c>
      <c r="I78" s="1"/>
      <c r="J78" s="1" t="s">
        <v>2621</v>
      </c>
      <c r="K78" s="1" t="s">
        <v>2642</v>
      </c>
      <c r="L78" s="1" t="s">
        <v>2642</v>
      </c>
      <c r="M78" s="1" t="s">
        <v>2642</v>
      </c>
      <c r="N78" s="1"/>
      <c r="O78" s="1" t="s">
        <v>2642</v>
      </c>
      <c r="P78" s="9"/>
      <c r="R78" s="16">
        <f ca="1">IF(ISNUMBER(SEARCH(INDIRECT(CELL("address")),S78)),MAX($R$1:R77)+1,0)</f>
        <v>77</v>
      </c>
      <c r="S78" s="18" t="str">
        <f>Table1[[#This Row],[Portico_Specialty]]&amp;"-"&amp;Table1[[#This Row],[Code]]</f>
        <v>Clinic/Center: Critical Access Hospital-261QC0050X</v>
      </c>
      <c r="U78" s="16" t="str">
        <f ca="1">IFERROR(VLOOKUP(ROWS($U$1:U77),$R$2:$S$918,2,FALSE),"")</f>
        <v>Clinic/Center: Critical Access Hospital-261QC0050X</v>
      </c>
    </row>
    <row r="79" spans="1:21" x14ac:dyDescent="0.3">
      <c r="A79" s="21" t="s">
        <v>1381</v>
      </c>
      <c r="B79" s="21" t="str">
        <f>Table1[[#This Row],[Code]]&amp;" "&amp;Table1[[#This Row],[Portico_Specialty]]</f>
        <v>261QD0000X Clinic/Center: Dental</v>
      </c>
      <c r="C79" s="21" t="str">
        <f>CLEAN(Table1[[#This Row],[Code]])</f>
        <v>261QD0000X</v>
      </c>
      <c r="D79" s="1" t="s">
        <v>1382</v>
      </c>
      <c r="E79" s="1"/>
      <c r="F79" s="1" t="s">
        <v>2587</v>
      </c>
      <c r="G79" s="3" t="s">
        <v>2588</v>
      </c>
      <c r="H79" s="1" t="s">
        <v>2592</v>
      </c>
      <c r="I79" s="1"/>
      <c r="J79" s="1" t="s">
        <v>2592</v>
      </c>
      <c r="K79" s="1" t="s">
        <v>2592</v>
      </c>
      <c r="L79" s="1" t="s">
        <v>2592</v>
      </c>
      <c r="M79" s="1" t="s">
        <v>2592</v>
      </c>
      <c r="N79" s="1"/>
      <c r="O79" s="1" t="s">
        <v>2592</v>
      </c>
      <c r="P79" s="9"/>
      <c r="R79" s="16">
        <f ca="1">IF(ISNUMBER(SEARCH(INDIRECT(CELL("address")),S79)),MAX($R$1:R78)+1,0)</f>
        <v>78</v>
      </c>
      <c r="S79" s="18" t="str">
        <f>Table1[[#This Row],[Portico_Specialty]]&amp;"-"&amp;Table1[[#This Row],[Code]]</f>
        <v>Clinic/Center: Dental-261QD0000X</v>
      </c>
      <c r="U79" s="16" t="str">
        <f ca="1">IFERROR(VLOOKUP(ROWS($U$1:U78),$R$2:$S$918,2,FALSE),"")</f>
        <v>Clinic/Center: Dental-261QD0000X</v>
      </c>
    </row>
    <row r="80" spans="1:21" x14ac:dyDescent="0.3">
      <c r="A80" s="21" t="s">
        <v>1383</v>
      </c>
      <c r="B80" s="21" t="str">
        <f>Table1[[#This Row],[Code]]&amp;" "&amp;Table1[[#This Row],[Portico_Specialty]]</f>
        <v>261QD1600X Clinic/Center: Developmental Disabilities</v>
      </c>
      <c r="C80" s="21" t="str">
        <f>CLEAN(Table1[[#This Row],[Code]])</f>
        <v>261QD1600X</v>
      </c>
      <c r="D80" s="1" t="s">
        <v>1384</v>
      </c>
      <c r="E80" s="1"/>
      <c r="F80" s="4" t="s">
        <v>2619</v>
      </c>
      <c r="G80" s="3" t="s">
        <v>2588</v>
      </c>
      <c r="H80" s="1" t="s">
        <v>2621</v>
      </c>
      <c r="I80" s="1"/>
      <c r="J80" s="1" t="s">
        <v>2621</v>
      </c>
      <c r="K80" s="1" t="s">
        <v>2621</v>
      </c>
      <c r="L80" s="1" t="s">
        <v>2621</v>
      </c>
      <c r="M80" s="1" t="s">
        <v>2621</v>
      </c>
      <c r="N80" s="1" t="s">
        <v>2621</v>
      </c>
      <c r="O80" s="1" t="s">
        <v>2621</v>
      </c>
      <c r="P80" s="9"/>
      <c r="R80" s="16">
        <f ca="1">IF(ISNUMBER(SEARCH(INDIRECT(CELL("address")),S80)),MAX($R$1:R79)+1,0)</f>
        <v>79</v>
      </c>
      <c r="S80" s="18" t="str">
        <f>Table1[[#This Row],[Portico_Specialty]]&amp;"-"&amp;Table1[[#This Row],[Code]]</f>
        <v>Clinic/Center: Developmental Disabilities-261QD1600X</v>
      </c>
      <c r="U80" s="16" t="str">
        <f ca="1">IFERROR(VLOOKUP(ROWS($U$1:U79),$R$2:$S$918,2,FALSE),"")</f>
        <v>Clinic/Center: Developmental Disabilities-261QD1600X</v>
      </c>
    </row>
    <row r="81" spans="1:21" x14ac:dyDescent="0.3">
      <c r="A81" s="21" t="s">
        <v>1385</v>
      </c>
      <c r="B81" s="21" t="str">
        <f>Table1[[#This Row],[Code]]&amp;" "&amp;Table1[[#This Row],[Portico_Specialty]]</f>
        <v>261QE0002X Clinic/Center: Emergency Care</v>
      </c>
      <c r="C81" s="21" t="str">
        <f>CLEAN(Table1[[#This Row],[Code]])</f>
        <v>261QE0002X</v>
      </c>
      <c r="D81" s="1" t="s">
        <v>1386</v>
      </c>
      <c r="E81" s="1"/>
      <c r="F81" s="1" t="s">
        <v>2587</v>
      </c>
      <c r="G81" s="3" t="s">
        <v>2588</v>
      </c>
      <c r="H81" s="1" t="s">
        <v>2621</v>
      </c>
      <c r="I81" s="1"/>
      <c r="J81" s="1" t="s">
        <v>2621</v>
      </c>
      <c r="K81" s="1" t="s">
        <v>2621</v>
      </c>
      <c r="L81" s="1" t="s">
        <v>2621</v>
      </c>
      <c r="M81" s="1" t="s">
        <v>2621</v>
      </c>
      <c r="N81" s="1" t="s">
        <v>2621</v>
      </c>
      <c r="O81" s="1" t="s">
        <v>2621</v>
      </c>
      <c r="P81" s="9"/>
      <c r="R81" s="16">
        <f ca="1">IF(ISNUMBER(SEARCH(INDIRECT(CELL("address")),S81)),MAX($R$1:R80)+1,0)</f>
        <v>80</v>
      </c>
      <c r="S81" s="18" t="str">
        <f>Table1[[#This Row],[Portico_Specialty]]&amp;"-"&amp;Table1[[#This Row],[Code]]</f>
        <v>Clinic/Center: Emergency Care-261QE0002X</v>
      </c>
      <c r="U81" s="16" t="str">
        <f ca="1">IFERROR(VLOOKUP(ROWS($U$1:U80),$R$2:$S$918,2,FALSE),"")</f>
        <v>Clinic/Center: Emergency Care-261QE0002X</v>
      </c>
    </row>
    <row r="82" spans="1:21" x14ac:dyDescent="0.3">
      <c r="A82" s="21" t="s">
        <v>1389</v>
      </c>
      <c r="B82" s="21" t="str">
        <f>Table1[[#This Row],[Code]]&amp;" "&amp;Table1[[#This Row],[Portico_Specialty]]</f>
        <v>261QE0800X Clinic/Center: Endoscopy</v>
      </c>
      <c r="C82" s="21" t="str">
        <f>CLEAN(Table1[[#This Row],[Code]])</f>
        <v>261QE0800X</v>
      </c>
      <c r="D82" s="1" t="s">
        <v>1390</v>
      </c>
      <c r="E82" s="1"/>
      <c r="F82" s="1" t="s">
        <v>2587</v>
      </c>
      <c r="G82" s="3" t="s">
        <v>2588</v>
      </c>
      <c r="H82" s="1" t="s">
        <v>2645</v>
      </c>
      <c r="I82" s="1"/>
      <c r="J82" s="1" t="s">
        <v>2645</v>
      </c>
      <c r="K82" s="1" t="s">
        <v>2621</v>
      </c>
      <c r="L82" s="1" t="s">
        <v>2645</v>
      </c>
      <c r="M82" s="1" t="s">
        <v>2645</v>
      </c>
      <c r="N82" s="1" t="s">
        <v>2645</v>
      </c>
      <c r="O82" s="1" t="s">
        <v>2621</v>
      </c>
      <c r="P82" s="9"/>
      <c r="R82" s="16">
        <f ca="1">IF(ISNUMBER(SEARCH(INDIRECT(CELL("address")),S82)),MAX($R$1:R81)+1,0)</f>
        <v>81</v>
      </c>
      <c r="S82" s="18" t="str">
        <f>Table1[[#This Row],[Portico_Specialty]]&amp;"-"&amp;Table1[[#This Row],[Code]]</f>
        <v>Clinic/Center: Endoscopy-261QE0800X</v>
      </c>
      <c r="U82" s="16" t="str">
        <f ca="1">IFERROR(VLOOKUP(ROWS($U$1:U81),$R$2:$S$918,2,FALSE),"")</f>
        <v>Clinic/Center: Endoscopy-261QE0800X</v>
      </c>
    </row>
    <row r="83" spans="1:21" ht="30.75" x14ac:dyDescent="0.3">
      <c r="A83" s="21" t="s">
        <v>1387</v>
      </c>
      <c r="B83" s="21" t="str">
        <f>Table1[[#This Row],[Code]]&amp;" "&amp;Table1[[#This Row],[Portico_Specialty]]</f>
        <v>261QE0700X Clinic/Center: End-Stage Renal Disease (ESRD) Treatment</v>
      </c>
      <c r="C83" s="21" t="str">
        <f>CLEAN(Table1[[#This Row],[Code]])</f>
        <v>261QE0700X</v>
      </c>
      <c r="D83" s="1" t="s">
        <v>1388</v>
      </c>
      <c r="E83" s="1"/>
      <c r="F83" s="1" t="s">
        <v>2587</v>
      </c>
      <c r="G83" s="4" t="s">
        <v>2593</v>
      </c>
      <c r="H83" s="1" t="s">
        <v>2648</v>
      </c>
      <c r="I83" s="1"/>
      <c r="J83" s="1" t="s">
        <v>2648</v>
      </c>
      <c r="K83" s="1" t="s">
        <v>2621</v>
      </c>
      <c r="L83" s="1" t="s">
        <v>2648</v>
      </c>
      <c r="M83" s="1" t="s">
        <v>2648</v>
      </c>
      <c r="N83" s="1" t="s">
        <v>2648</v>
      </c>
      <c r="O83" s="1" t="s">
        <v>2621</v>
      </c>
      <c r="P83" s="9"/>
      <c r="R83" s="16">
        <f ca="1">IF(ISNUMBER(SEARCH(INDIRECT(CELL("address")),S83)),MAX($R$1:R82)+1,0)</f>
        <v>82</v>
      </c>
      <c r="S83" s="18" t="str">
        <f>Table1[[#This Row],[Portico_Specialty]]&amp;"-"&amp;Table1[[#This Row],[Code]]</f>
        <v>Clinic/Center: End-Stage Renal Disease (ESRD) Treatment-261QE0700X</v>
      </c>
      <c r="U83" s="16" t="str">
        <f ca="1">IFERROR(VLOOKUP(ROWS($U$1:U82),$R$2:$S$918,2,FALSE),"")</f>
        <v>Clinic/Center: End-Stage Renal Disease (ESRD) Treatment-261QE0700X</v>
      </c>
    </row>
    <row r="84" spans="1:21" ht="30.75" x14ac:dyDescent="0.3">
      <c r="A84" s="21" t="s">
        <v>1391</v>
      </c>
      <c r="B84" s="21" t="str">
        <f>Table1[[#This Row],[Code]]&amp;" "&amp;Table1[[#This Row],[Portico_Specialty]]</f>
        <v>261QF0050X Clinic/Center: Family Planning, Non-Surgical</v>
      </c>
      <c r="C84" s="21" t="str">
        <f>CLEAN(Table1[[#This Row],[Code]])</f>
        <v>261QF0050X</v>
      </c>
      <c r="D84" s="1" t="s">
        <v>1392</v>
      </c>
      <c r="E84" s="1"/>
      <c r="F84" s="1" t="s">
        <v>2587</v>
      </c>
      <c r="G84" s="3" t="s">
        <v>2588</v>
      </c>
      <c r="H84" s="1" t="s">
        <v>2621</v>
      </c>
      <c r="I84" s="1"/>
      <c r="J84" s="1" t="s">
        <v>2644</v>
      </c>
      <c r="K84" s="1" t="s">
        <v>2621</v>
      </c>
      <c r="L84" s="1" t="s">
        <v>2621</v>
      </c>
      <c r="M84" s="1" t="s">
        <v>2644</v>
      </c>
      <c r="N84" s="1" t="s">
        <v>2621</v>
      </c>
      <c r="O84" s="1" t="s">
        <v>2621</v>
      </c>
      <c r="P84" s="9"/>
      <c r="R84" s="16">
        <f ca="1">IF(ISNUMBER(SEARCH(INDIRECT(CELL("address")),S84)),MAX($R$1:R83)+1,0)</f>
        <v>83</v>
      </c>
      <c r="S84" s="18" t="str">
        <f>Table1[[#This Row],[Portico_Specialty]]&amp;"-"&amp;Table1[[#This Row],[Code]]</f>
        <v>Clinic/Center: Family Planning, Non-Surgical-261QF0050X</v>
      </c>
      <c r="U84" s="16" t="str">
        <f ca="1">IFERROR(VLOOKUP(ROWS($U$1:U83),$R$2:$S$918,2,FALSE),"")</f>
        <v>Clinic/Center: Family Planning, Non-Surgical-261QF0050X</v>
      </c>
    </row>
    <row r="85" spans="1:21" ht="30.75" x14ac:dyDescent="0.3">
      <c r="A85" s="21" t="s">
        <v>1393</v>
      </c>
      <c r="B85" s="21" t="str">
        <f>Table1[[#This Row],[Code]]&amp;" "&amp;Table1[[#This Row],[Portico_Specialty]]</f>
        <v>261QF0400X Clinic/Center: Federally Qualified Health Center (FQHC)</v>
      </c>
      <c r="C85" s="21" t="str">
        <f>CLEAN(Table1[[#This Row],[Code]])</f>
        <v>261QF0400X</v>
      </c>
      <c r="D85" s="1" t="s">
        <v>1394</v>
      </c>
      <c r="E85" s="1"/>
      <c r="F85" s="4" t="s">
        <v>2619</v>
      </c>
      <c r="G85" s="4" t="s">
        <v>2593</v>
      </c>
      <c r="H85" s="1" t="s">
        <v>2621</v>
      </c>
      <c r="I85" s="1"/>
      <c r="J85" s="1" t="s">
        <v>2649</v>
      </c>
      <c r="K85" s="1" t="s">
        <v>2649</v>
      </c>
      <c r="L85" s="1" t="s">
        <v>2621</v>
      </c>
      <c r="M85" s="1" t="s">
        <v>2621</v>
      </c>
      <c r="N85" s="1" t="s">
        <v>2621</v>
      </c>
      <c r="O85" s="1" t="s">
        <v>2649</v>
      </c>
      <c r="P85" s="9"/>
      <c r="R85" s="16">
        <f ca="1">IF(ISNUMBER(SEARCH(INDIRECT(CELL("address")),S85)),MAX($R$1:R84)+1,0)</f>
        <v>84</v>
      </c>
      <c r="S85" s="18" t="str">
        <f>Table1[[#This Row],[Portico_Specialty]]&amp;"-"&amp;Table1[[#This Row],[Code]]</f>
        <v>Clinic/Center: Federally Qualified Health Center (FQHC)-261QF0400X</v>
      </c>
      <c r="U85" s="16" t="str">
        <f ca="1">IFERROR(VLOOKUP(ROWS($U$1:U84),$R$2:$S$918,2,FALSE),"")</f>
        <v>Clinic/Center: Federally Qualified Health Center (FQHC)-261QF0400X</v>
      </c>
    </row>
    <row r="86" spans="1:21" x14ac:dyDescent="0.3">
      <c r="A86" s="21" t="s">
        <v>1395</v>
      </c>
      <c r="B86" s="21" t="str">
        <f>Table1[[#This Row],[Code]]&amp;" "&amp;Table1[[#This Row],[Portico_Specialty]]</f>
        <v>261QG0250X Clinic/Center: Genetics</v>
      </c>
      <c r="C86" s="21" t="str">
        <f>CLEAN(Table1[[#This Row],[Code]])</f>
        <v>261QG0250X</v>
      </c>
      <c r="D86" s="1" t="s">
        <v>1396</v>
      </c>
      <c r="E86" s="1"/>
      <c r="F86" s="1" t="s">
        <v>2587</v>
      </c>
      <c r="G86" s="3" t="s">
        <v>2588</v>
      </c>
      <c r="H86" s="1" t="s">
        <v>2650</v>
      </c>
      <c r="I86" s="1"/>
      <c r="J86" s="1" t="s">
        <v>2650</v>
      </c>
      <c r="K86" s="1" t="s">
        <v>2621</v>
      </c>
      <c r="L86" s="1" t="s">
        <v>2650</v>
      </c>
      <c r="M86" s="1" t="s">
        <v>2650</v>
      </c>
      <c r="N86" s="1"/>
      <c r="O86" s="1" t="s">
        <v>2621</v>
      </c>
      <c r="P86" s="9"/>
      <c r="R86" s="16">
        <f ca="1">IF(ISNUMBER(SEARCH(INDIRECT(CELL("address")),S86)),MAX($R$1:R85)+1,0)</f>
        <v>85</v>
      </c>
      <c r="S86" s="18" t="str">
        <f>Table1[[#This Row],[Portico_Specialty]]&amp;"-"&amp;Table1[[#This Row],[Code]]</f>
        <v>Clinic/Center: Genetics-261QG0250X</v>
      </c>
      <c r="U86" s="16" t="str">
        <f ca="1">IFERROR(VLOOKUP(ROWS($U$1:U85),$R$2:$S$918,2,FALSE),"")</f>
        <v>Clinic/Center: Genetics-261QG0250X</v>
      </c>
    </row>
    <row r="87" spans="1:21" x14ac:dyDescent="0.3">
      <c r="A87" s="21" t="s">
        <v>1397</v>
      </c>
      <c r="B87" s="21" t="str">
        <f>Table1[[#This Row],[Code]]&amp;" "&amp;Table1[[#This Row],[Portico_Specialty]]</f>
        <v>261QH0100X Clinic/Center: Health Service</v>
      </c>
      <c r="C87" s="21" t="str">
        <f>CLEAN(Table1[[#This Row],[Code]])</f>
        <v>261QH0100X</v>
      </c>
      <c r="D87" s="1" t="s">
        <v>1398</v>
      </c>
      <c r="E87" s="1"/>
      <c r="F87" s="1" t="s">
        <v>2587</v>
      </c>
      <c r="G87" s="3" t="s">
        <v>2588</v>
      </c>
      <c r="H87" s="1" t="s">
        <v>2621</v>
      </c>
      <c r="I87" s="1"/>
      <c r="J87" s="1" t="s">
        <v>2621</v>
      </c>
      <c r="K87" s="1" t="s">
        <v>2621</v>
      </c>
      <c r="L87" s="1" t="s">
        <v>2621</v>
      </c>
      <c r="M87" s="1" t="s">
        <v>2621</v>
      </c>
      <c r="N87" s="1" t="s">
        <v>2621</v>
      </c>
      <c r="O87" s="1" t="s">
        <v>2621</v>
      </c>
      <c r="P87" s="9"/>
      <c r="R87" s="16">
        <f ca="1">IF(ISNUMBER(SEARCH(INDIRECT(CELL("address")),S87)),MAX($R$1:R86)+1,0)</f>
        <v>86</v>
      </c>
      <c r="S87" s="18" t="str">
        <f>Table1[[#This Row],[Portico_Specialty]]&amp;"-"&amp;Table1[[#This Row],[Code]]</f>
        <v>Clinic/Center: Health Service-261QH0100X</v>
      </c>
      <c r="U87" s="16" t="str">
        <f ca="1">IFERROR(VLOOKUP(ROWS($U$1:U86),$R$2:$S$918,2,FALSE),"")</f>
        <v>Clinic/Center: Health Service-261QH0100X</v>
      </c>
    </row>
    <row r="88" spans="1:21" x14ac:dyDescent="0.3">
      <c r="A88" s="21" t="s">
        <v>1399</v>
      </c>
      <c r="B88" s="21" t="str">
        <f>Table1[[#This Row],[Code]]&amp;" "&amp;Table1[[#This Row],[Portico_Specialty]]</f>
        <v>261QH0700X Clinic/Center: Hearing and Speech</v>
      </c>
      <c r="C88" s="21" t="str">
        <f>CLEAN(Table1[[#This Row],[Code]])</f>
        <v>261QH0700X</v>
      </c>
      <c r="D88" s="1" t="s">
        <v>1400</v>
      </c>
      <c r="E88" s="1"/>
      <c r="F88" s="1" t="s">
        <v>2587</v>
      </c>
      <c r="G88" s="3" t="s">
        <v>2588</v>
      </c>
      <c r="H88" s="1" t="s">
        <v>2651</v>
      </c>
      <c r="I88" s="1"/>
      <c r="J88" s="1" t="s">
        <v>2651</v>
      </c>
      <c r="K88" s="1" t="s">
        <v>2621</v>
      </c>
      <c r="L88" s="1" t="s">
        <v>2651</v>
      </c>
      <c r="M88" s="1" t="s">
        <v>2652</v>
      </c>
      <c r="N88" s="1" t="s">
        <v>2590</v>
      </c>
      <c r="O88" s="1" t="s">
        <v>2621</v>
      </c>
      <c r="P88" s="9"/>
      <c r="R88" s="16">
        <f ca="1">IF(ISNUMBER(SEARCH(INDIRECT(CELL("address")),S88)),MAX($R$1:R87)+1,0)</f>
        <v>87</v>
      </c>
      <c r="S88" s="18" t="str">
        <f>Table1[[#This Row],[Portico_Specialty]]&amp;"-"&amp;Table1[[#This Row],[Code]]</f>
        <v>Clinic/Center: Hearing and Speech-261QH0700X</v>
      </c>
      <c r="U88" s="16" t="str">
        <f ca="1">IFERROR(VLOOKUP(ROWS($U$1:U87),$R$2:$S$918,2,FALSE),"")</f>
        <v>Clinic/Center: Hearing and Speech-261QH0700X</v>
      </c>
    </row>
    <row r="89" spans="1:21" x14ac:dyDescent="0.3">
      <c r="A89" s="21" t="s">
        <v>1401</v>
      </c>
      <c r="B89" s="21" t="str">
        <f>Table1[[#This Row],[Code]]&amp;" "&amp;Table1[[#This Row],[Portico_Specialty]]</f>
        <v>261QI0500X Clinic/Center: Infusion Therapy</v>
      </c>
      <c r="C89" s="21" t="str">
        <f>CLEAN(Table1[[#This Row],[Code]])</f>
        <v>261QI0500X</v>
      </c>
      <c r="D89" s="1" t="s">
        <v>1402</v>
      </c>
      <c r="E89" s="1"/>
      <c r="F89" s="1" t="s">
        <v>2587</v>
      </c>
      <c r="G89" s="3" t="s">
        <v>2588</v>
      </c>
      <c r="H89" s="1" t="s">
        <v>2621</v>
      </c>
      <c r="I89" s="1"/>
      <c r="J89" s="1" t="s">
        <v>2621</v>
      </c>
      <c r="K89" s="1" t="s">
        <v>2621</v>
      </c>
      <c r="L89" s="1" t="s">
        <v>2621</v>
      </c>
      <c r="M89" s="1" t="s">
        <v>2621</v>
      </c>
      <c r="N89" s="1" t="s">
        <v>2621</v>
      </c>
      <c r="O89" s="1" t="s">
        <v>2621</v>
      </c>
      <c r="P89" s="9"/>
      <c r="R89" s="16">
        <f ca="1">IF(ISNUMBER(SEARCH(INDIRECT(CELL("address")),S89)),MAX($R$1:R88)+1,0)</f>
        <v>88</v>
      </c>
      <c r="S89" s="18" t="str">
        <f>Table1[[#This Row],[Portico_Specialty]]&amp;"-"&amp;Table1[[#This Row],[Code]]</f>
        <v>Clinic/Center: Infusion Therapy-261QI0500X</v>
      </c>
      <c r="U89" s="16" t="str">
        <f ca="1">IFERROR(VLOOKUP(ROWS($U$1:U88),$R$2:$S$918,2,FALSE),"")</f>
        <v>Clinic/Center: Infusion Therapy-261QI0500X</v>
      </c>
    </row>
    <row r="90" spans="1:21" x14ac:dyDescent="0.3">
      <c r="A90" s="21" t="s">
        <v>1403</v>
      </c>
      <c r="B90" s="21" t="str">
        <f>Table1[[#This Row],[Code]]&amp;" "&amp;Table1[[#This Row],[Portico_Specialty]]</f>
        <v>261QL0400X Clinic/Center: Lithotripsy</v>
      </c>
      <c r="C90" s="21" t="str">
        <f>CLEAN(Table1[[#This Row],[Code]])</f>
        <v>261QL0400X</v>
      </c>
      <c r="D90" s="1" t="s">
        <v>1404</v>
      </c>
      <c r="E90" s="1"/>
      <c r="F90" s="1" t="s">
        <v>2587</v>
      </c>
      <c r="G90" s="3" t="s">
        <v>2588</v>
      </c>
      <c r="H90" s="1" t="s">
        <v>2645</v>
      </c>
      <c r="I90" s="1"/>
      <c r="J90" s="1" t="s">
        <v>2645</v>
      </c>
      <c r="K90" s="1" t="s">
        <v>2621</v>
      </c>
      <c r="L90" s="1" t="s">
        <v>2645</v>
      </c>
      <c r="M90" s="1" t="s">
        <v>2645</v>
      </c>
      <c r="N90" s="1" t="s">
        <v>2645</v>
      </c>
      <c r="O90" s="1" t="s">
        <v>2621</v>
      </c>
      <c r="P90" s="9"/>
      <c r="R90" s="16">
        <f ca="1">IF(ISNUMBER(SEARCH(INDIRECT(CELL("address")),S90)),MAX($R$1:R89)+1,0)</f>
        <v>89</v>
      </c>
      <c r="S90" s="18" t="str">
        <f>Table1[[#This Row],[Portico_Specialty]]&amp;"-"&amp;Table1[[#This Row],[Code]]</f>
        <v>Clinic/Center: Lithotripsy-261QL0400X</v>
      </c>
      <c r="U90" s="16" t="str">
        <f ca="1">IFERROR(VLOOKUP(ROWS($U$1:U89),$R$2:$S$918,2,FALSE),"")</f>
        <v>Clinic/Center: Lithotripsy-261QL0400X</v>
      </c>
    </row>
    <row r="91" spans="1:21" ht="30.75" x14ac:dyDescent="0.3">
      <c r="A91" s="21" t="s">
        <v>1421</v>
      </c>
      <c r="B91" s="21" t="str">
        <f>Table1[[#This Row],[Code]]&amp;" "&amp;Table1[[#This Row],[Portico_Specialty]]</f>
        <v>261QM1200X Clinic/Center: Magnetic Resonance Imaging (MRI)</v>
      </c>
      <c r="C91" s="21" t="str">
        <f>CLEAN(Table1[[#This Row],[Code]])</f>
        <v>261QM1200X</v>
      </c>
      <c r="D91" s="1" t="s">
        <v>1422</v>
      </c>
      <c r="E91" s="1"/>
      <c r="F91" s="1" t="s">
        <v>2587</v>
      </c>
      <c r="G91" s="3" t="s">
        <v>2588</v>
      </c>
      <c r="H91" s="1" t="s">
        <v>2653</v>
      </c>
      <c r="I91" s="1"/>
      <c r="J91" s="1" t="s">
        <v>2653</v>
      </c>
      <c r="K91" s="1" t="s">
        <v>2621</v>
      </c>
      <c r="L91" s="1" t="s">
        <v>2653</v>
      </c>
      <c r="M91" s="1" t="s">
        <v>2653</v>
      </c>
      <c r="N91" s="1" t="s">
        <v>2653</v>
      </c>
      <c r="O91" s="1" t="s">
        <v>2621</v>
      </c>
      <c r="P91" s="9"/>
      <c r="R91" s="16">
        <f ca="1">IF(ISNUMBER(SEARCH(INDIRECT(CELL("address")),S91)),MAX($R$1:R90)+1,0)</f>
        <v>90</v>
      </c>
      <c r="S91" s="18" t="str">
        <f>Table1[[#This Row],[Portico_Specialty]]&amp;"-"&amp;Table1[[#This Row],[Code]]</f>
        <v>Clinic/Center: Magnetic Resonance Imaging (MRI)-261QM1200X</v>
      </c>
      <c r="U91" s="16" t="str">
        <f ca="1">IFERROR(VLOOKUP(ROWS($U$1:U90),$R$2:$S$918,2,FALSE),"")</f>
        <v>Clinic/Center: Magnetic Resonance Imaging (MRI)-261QM1200X</v>
      </c>
    </row>
    <row r="92" spans="1:21" x14ac:dyDescent="0.3">
      <c r="A92" s="21" t="s">
        <v>1425</v>
      </c>
      <c r="B92" s="21" t="str">
        <f>Table1[[#This Row],[Code]]&amp;" "&amp;Table1[[#This Row],[Portico_Specialty]]</f>
        <v>261QM2500X Clinic/Center: Medical Specialty</v>
      </c>
      <c r="C92" s="21" t="str">
        <f>CLEAN(Table1[[#This Row],[Code]])</f>
        <v>261QM2500X</v>
      </c>
      <c r="D92" s="1" t="s">
        <v>1426</v>
      </c>
      <c r="E92" s="1"/>
      <c r="F92" s="1" t="s">
        <v>2587</v>
      </c>
      <c r="G92" s="3" t="s">
        <v>2588</v>
      </c>
      <c r="H92" s="1" t="s">
        <v>2621</v>
      </c>
      <c r="I92" s="1"/>
      <c r="J92" s="1" t="s">
        <v>2621</v>
      </c>
      <c r="K92" s="1" t="s">
        <v>2621</v>
      </c>
      <c r="L92" s="1" t="s">
        <v>2621</v>
      </c>
      <c r="M92" s="1" t="s">
        <v>2621</v>
      </c>
      <c r="N92" s="1" t="s">
        <v>2621</v>
      </c>
      <c r="O92" s="1" t="s">
        <v>2621</v>
      </c>
      <c r="P92" s="9"/>
      <c r="R92" s="16">
        <f ca="1">IF(ISNUMBER(SEARCH(INDIRECT(CELL("address")),S92)),MAX($R$1:R91)+1,0)</f>
        <v>91</v>
      </c>
      <c r="S92" s="18" t="str">
        <f>Table1[[#This Row],[Portico_Specialty]]&amp;"-"&amp;Table1[[#This Row],[Code]]</f>
        <v>Clinic/Center: Medical Specialty-261QM2500X</v>
      </c>
      <c r="U92" s="16" t="str">
        <f ca="1">IFERROR(VLOOKUP(ROWS($U$1:U91),$R$2:$S$918,2,FALSE),"")</f>
        <v>Clinic/Center: Medical Specialty-261QM2500X</v>
      </c>
    </row>
    <row r="93" spans="1:21" ht="30.75" x14ac:dyDescent="0.3">
      <c r="A93" s="21" t="s">
        <v>1429</v>
      </c>
      <c r="B93" s="21" t="str">
        <f>Table1[[#This Row],[Code]]&amp;" "&amp;Table1[[#This Row],[Portico_Specialty]]</f>
        <v>261QM3000X Clinic/Center: Medically Fragile Intants and Children Day Care</v>
      </c>
      <c r="C93" s="21" t="str">
        <f>CLEAN(Table1[[#This Row],[Code]])</f>
        <v>261QM3000X</v>
      </c>
      <c r="D93" s="1" t="s">
        <v>2654</v>
      </c>
      <c r="E93" s="1"/>
      <c r="F93" s="1" t="s">
        <v>2587</v>
      </c>
      <c r="G93" s="3" t="s">
        <v>2588</v>
      </c>
      <c r="H93" s="1" t="s">
        <v>2621</v>
      </c>
      <c r="I93" s="1"/>
      <c r="J93" s="1" t="s">
        <v>2621</v>
      </c>
      <c r="K93" s="1" t="s">
        <v>2621</v>
      </c>
      <c r="L93" s="1" t="s">
        <v>2621</v>
      </c>
      <c r="M93" s="1" t="s">
        <v>2621</v>
      </c>
      <c r="N93" s="1" t="s">
        <v>2621</v>
      </c>
      <c r="O93" s="1" t="s">
        <v>2621</v>
      </c>
      <c r="P93" s="9"/>
      <c r="R93" s="16">
        <f ca="1">IF(ISNUMBER(SEARCH(INDIRECT(CELL("address")),S93)),MAX($R$1:R92)+1,0)</f>
        <v>92</v>
      </c>
      <c r="S93" s="18" t="str">
        <f>Table1[[#This Row],[Portico_Specialty]]&amp;"-"&amp;Table1[[#This Row],[Code]]</f>
        <v>Clinic/Center: Medically Fragile Intants and Children Day Care-261QM3000X</v>
      </c>
      <c r="U93" s="16" t="str">
        <f ca="1">IFERROR(VLOOKUP(ROWS($U$1:U92),$R$2:$S$918,2,FALSE),"")</f>
        <v>Clinic/Center: Medically Fragile Intants and Children Day Care-261QM3000X</v>
      </c>
    </row>
    <row r="94" spans="1:21" ht="30.75" x14ac:dyDescent="0.3">
      <c r="A94" s="21" t="s">
        <v>1405</v>
      </c>
      <c r="B94" s="21" t="str">
        <f>Table1[[#This Row],[Code]]&amp;" "&amp;Table1[[#This Row],[Portico_Specialty]]</f>
        <v>261QM0801X Clinic/Center: Mental Health (Including Community Mental Health Center)</v>
      </c>
      <c r="C94" s="21" t="str">
        <f>CLEAN(Table1[[#This Row],[Code]])</f>
        <v>261QM0801X</v>
      </c>
      <c r="D94" s="1" t="s">
        <v>1406</v>
      </c>
      <c r="E94" s="1"/>
      <c r="F94" s="1" t="s">
        <v>2607</v>
      </c>
      <c r="G94" s="4" t="s">
        <v>2593</v>
      </c>
      <c r="H94" s="1" t="s">
        <v>2621</v>
      </c>
      <c r="I94" s="1"/>
      <c r="J94" s="1" t="s">
        <v>2621</v>
      </c>
      <c r="K94" s="1" t="s">
        <v>2622</v>
      </c>
      <c r="L94" s="1" t="s">
        <v>2622</v>
      </c>
      <c r="M94" s="1" t="s">
        <v>2621</v>
      </c>
      <c r="N94" s="1" t="s">
        <v>2621</v>
      </c>
      <c r="O94" s="1" t="s">
        <v>2622</v>
      </c>
      <c r="P94" s="9"/>
      <c r="R94" s="16">
        <f ca="1">IF(ISNUMBER(SEARCH(INDIRECT(CELL("address")),S94)),MAX($R$1:R93)+1,0)</f>
        <v>93</v>
      </c>
      <c r="S94" s="18" t="str">
        <f>Table1[[#This Row],[Portico_Specialty]]&amp;"-"&amp;Table1[[#This Row],[Code]]</f>
        <v>Clinic/Center: Mental Health (Including Community Mental Health Center)-261QM0801X</v>
      </c>
      <c r="U94" s="16" t="str">
        <f ca="1">IFERROR(VLOOKUP(ROWS($U$1:U93),$R$2:$S$918,2,FALSE),"")</f>
        <v>Clinic/Center: Mental Health (Including Community Mental Health Center)-261QM0801X</v>
      </c>
    </row>
    <row r="95" spans="1:21" x14ac:dyDescent="0.3">
      <c r="A95" s="21" t="s">
        <v>1427</v>
      </c>
      <c r="B95" s="21" t="str">
        <f>Table1[[#This Row],[Code]]&amp;" "&amp;Table1[[#This Row],[Portico_Specialty]]</f>
        <v>261QM2800X Clinic/Center: Methadone Clinic</v>
      </c>
      <c r="C95" s="21" t="str">
        <f>CLEAN(Table1[[#This Row],[Code]])</f>
        <v>261QM2800X</v>
      </c>
      <c r="D95" s="1" t="s">
        <v>1428</v>
      </c>
      <c r="E95" s="1"/>
      <c r="F95" s="1" t="s">
        <v>2607</v>
      </c>
      <c r="G95" s="3" t="s">
        <v>2588</v>
      </c>
      <c r="H95" s="1" t="s">
        <v>2621</v>
      </c>
      <c r="I95" s="1"/>
      <c r="J95" s="1" t="s">
        <v>2622</v>
      </c>
      <c r="K95" s="1" t="s">
        <v>2655</v>
      </c>
      <c r="L95" s="1" t="s">
        <v>2622</v>
      </c>
      <c r="M95" s="1" t="s">
        <v>2622</v>
      </c>
      <c r="N95" s="1" t="s">
        <v>2621</v>
      </c>
      <c r="O95" s="1" t="s">
        <v>2655</v>
      </c>
      <c r="P95" s="9"/>
      <c r="R95" s="16">
        <f ca="1">IF(ISNUMBER(SEARCH(INDIRECT(CELL("address")),S95)),MAX($R$1:R94)+1,0)</f>
        <v>94</v>
      </c>
      <c r="S95" s="18" t="str">
        <f>Table1[[#This Row],[Portico_Specialty]]&amp;"-"&amp;Table1[[#This Row],[Code]]</f>
        <v>Clinic/Center: Methadone Clinic-261QM2800X</v>
      </c>
      <c r="U95" s="16" t="str">
        <f ca="1">IFERROR(VLOOKUP(ROWS($U$1:U94),$R$2:$S$918,2,FALSE),"")</f>
        <v>Clinic/Center: Methadone Clinic-261QM2800X</v>
      </c>
    </row>
    <row r="96" spans="1:21" x14ac:dyDescent="0.3">
      <c r="A96" s="21" t="s">
        <v>1411</v>
      </c>
      <c r="B96" s="21" t="str">
        <f>Table1[[#This Row],[Code]]&amp;" "&amp;Table1[[#This Row],[Portico_Specialty]]</f>
        <v>261QM1000X Clinic/Center: Migrant Health</v>
      </c>
      <c r="C96" s="21" t="str">
        <f>CLEAN(Table1[[#This Row],[Code]])</f>
        <v>261QM1000X</v>
      </c>
      <c r="D96" s="1" t="s">
        <v>1412</v>
      </c>
      <c r="E96" s="1"/>
      <c r="F96" s="1" t="s">
        <v>2587</v>
      </c>
      <c r="G96" s="3" t="s">
        <v>2588</v>
      </c>
      <c r="H96" s="1" t="s">
        <v>2621</v>
      </c>
      <c r="I96" s="1"/>
      <c r="J96" s="1" t="s">
        <v>2621</v>
      </c>
      <c r="K96" s="1" t="s">
        <v>2621</v>
      </c>
      <c r="L96" s="1" t="s">
        <v>2621</v>
      </c>
      <c r="M96" s="1" t="s">
        <v>2621</v>
      </c>
      <c r="N96" s="1" t="s">
        <v>2621</v>
      </c>
      <c r="O96" s="1" t="s">
        <v>2621</v>
      </c>
      <c r="P96" s="9"/>
      <c r="R96" s="16">
        <f ca="1">IF(ISNUMBER(SEARCH(INDIRECT(CELL("address")),S96)),MAX($R$1:R95)+1,0)</f>
        <v>95</v>
      </c>
      <c r="S96" s="18" t="str">
        <f>Table1[[#This Row],[Portico_Specialty]]&amp;"-"&amp;Table1[[#This Row],[Code]]</f>
        <v>Clinic/Center: Migrant Health-261QM1000X</v>
      </c>
      <c r="U96" s="16" t="str">
        <f ca="1">IFERROR(VLOOKUP(ROWS($U$1:U95),$R$2:$S$918,2,FALSE),"")</f>
        <v>Clinic/Center: Migrant Health-261QM1000X</v>
      </c>
    </row>
    <row r="97" spans="1:21" ht="30.75" x14ac:dyDescent="0.3">
      <c r="A97" s="21" t="s">
        <v>1419</v>
      </c>
      <c r="B97" s="21" t="str">
        <f>Table1[[#This Row],[Code]]&amp;" "&amp;Table1[[#This Row],[Portico_Specialty]]</f>
        <v>261QM1103X Clinic/Center: Military Ambulatory Procedure Visits Operational (Transportable)</v>
      </c>
      <c r="C97" s="21" t="str">
        <f>CLEAN(Table1[[#This Row],[Code]])</f>
        <v>261QM1103X</v>
      </c>
      <c r="D97" s="1" t="s">
        <v>1420</v>
      </c>
      <c r="E97" s="1"/>
      <c r="F97" s="1" t="s">
        <v>2587</v>
      </c>
      <c r="G97" s="3" t="s">
        <v>2588</v>
      </c>
      <c r="H97" s="1" t="s">
        <v>2621</v>
      </c>
      <c r="I97" s="1"/>
      <c r="J97" s="1" t="s">
        <v>2621</v>
      </c>
      <c r="K97" s="1" t="s">
        <v>2621</v>
      </c>
      <c r="L97" s="1" t="s">
        <v>2621</v>
      </c>
      <c r="M97" s="1" t="s">
        <v>2621</v>
      </c>
      <c r="N97" s="1" t="s">
        <v>2621</v>
      </c>
      <c r="O97" s="1" t="s">
        <v>2621</v>
      </c>
      <c r="P97" s="9"/>
      <c r="R97" s="16">
        <f ca="1">IF(ISNUMBER(SEARCH(INDIRECT(CELL("address")),S97)),MAX($R$1:R96)+1,0)</f>
        <v>96</v>
      </c>
      <c r="S97" s="18" t="str">
        <f>Table1[[#This Row],[Portico_Specialty]]&amp;"-"&amp;Table1[[#This Row],[Code]]</f>
        <v>Clinic/Center: Military Ambulatory Procedure Visits Operational (Transportable)-261QM1103X</v>
      </c>
      <c r="U97" s="16" t="str">
        <f ca="1">IFERROR(VLOOKUP(ROWS($U$1:U96),$R$2:$S$918,2,FALSE),"")</f>
        <v>Clinic/Center: Military Ambulatory Procedure Visits Operational (Transportable)-261QM1103X</v>
      </c>
    </row>
    <row r="98" spans="1:21" ht="30.75" x14ac:dyDescent="0.3">
      <c r="A98" s="21" t="s">
        <v>1415</v>
      </c>
      <c r="B98" s="21" t="str">
        <f>Table1[[#This Row],[Code]]&amp;" "&amp;Table1[[#This Row],[Portico_Specialty]]</f>
        <v>261QM1101X Clinic/Center: Military and U.S. Coast Guard Ambulatory Procedure</v>
      </c>
      <c r="C98" s="21" t="str">
        <f>CLEAN(Table1[[#This Row],[Code]])</f>
        <v>261QM1101X</v>
      </c>
      <c r="D98" s="1" t="s">
        <v>1416</v>
      </c>
      <c r="E98" s="1"/>
      <c r="F98" s="1" t="s">
        <v>2587</v>
      </c>
      <c r="G98" s="3" t="s">
        <v>2588</v>
      </c>
      <c r="H98" s="1" t="s">
        <v>2621</v>
      </c>
      <c r="I98" s="1"/>
      <c r="J98" s="1" t="s">
        <v>2621</v>
      </c>
      <c r="K98" s="1" t="s">
        <v>2621</v>
      </c>
      <c r="L98" s="1" t="s">
        <v>2621</v>
      </c>
      <c r="M98" s="1" t="s">
        <v>2621</v>
      </c>
      <c r="N98" s="1" t="s">
        <v>2621</v>
      </c>
      <c r="O98" s="1" t="s">
        <v>2621</v>
      </c>
      <c r="P98" s="9"/>
      <c r="R98" s="16">
        <f ca="1">IF(ISNUMBER(SEARCH(INDIRECT(CELL("address")),S98)),MAX($R$1:R97)+1,0)</f>
        <v>97</v>
      </c>
      <c r="S98" s="18" t="str">
        <f>Table1[[#This Row],[Portico_Specialty]]&amp;"-"&amp;Table1[[#This Row],[Code]]</f>
        <v>Clinic/Center: Military and U.S. Coast Guard Ambulatory Procedure-261QM1101X</v>
      </c>
      <c r="U98" s="16" t="str">
        <f ca="1">IFERROR(VLOOKUP(ROWS($U$1:U97),$R$2:$S$918,2,FALSE),"")</f>
        <v>Clinic/Center: Military and U.S. Coast Guard Ambulatory Procedure-261QM1101X</v>
      </c>
    </row>
    <row r="99" spans="1:21" ht="30.75" x14ac:dyDescent="0.3">
      <c r="A99" s="21" t="s">
        <v>1417</v>
      </c>
      <c r="B99" s="21" t="str">
        <f>Table1[[#This Row],[Code]]&amp;" "&amp;Table1[[#This Row],[Portico_Specialty]]</f>
        <v>261QM1102X Clinic/Center: Military Outpatient Operational (Transportable) Component</v>
      </c>
      <c r="C99" s="21" t="str">
        <f>CLEAN(Table1[[#This Row],[Code]])</f>
        <v>261QM1102X</v>
      </c>
      <c r="D99" s="1" t="s">
        <v>1418</v>
      </c>
      <c r="E99" s="1"/>
      <c r="F99" s="1" t="s">
        <v>2587</v>
      </c>
      <c r="G99" s="3" t="s">
        <v>2588</v>
      </c>
      <c r="H99" s="1" t="s">
        <v>2621</v>
      </c>
      <c r="I99" s="1"/>
      <c r="J99" s="1" t="s">
        <v>2621</v>
      </c>
      <c r="K99" s="1" t="s">
        <v>2621</v>
      </c>
      <c r="L99" s="1" t="s">
        <v>2621</v>
      </c>
      <c r="M99" s="1" t="s">
        <v>2621</v>
      </c>
      <c r="N99" s="1" t="s">
        <v>2621</v>
      </c>
      <c r="O99" s="1" t="s">
        <v>2621</v>
      </c>
      <c r="P99" s="9"/>
      <c r="R99" s="16">
        <f ca="1">IF(ISNUMBER(SEARCH(INDIRECT(CELL("address")),S99)),MAX($R$1:R98)+1,0)</f>
        <v>98</v>
      </c>
      <c r="S99" s="18" t="str">
        <f>Table1[[#This Row],[Portico_Specialty]]&amp;"-"&amp;Table1[[#This Row],[Code]]</f>
        <v>Clinic/Center: Military Outpatient Operational (Transportable) Component-261QM1102X</v>
      </c>
      <c r="U99" s="16" t="str">
        <f ca="1">IFERROR(VLOOKUP(ROWS($U$1:U98),$R$2:$S$918,2,FALSE),"")</f>
        <v>Clinic/Center: Military Outpatient Operational (Transportable) Component-261QM1102X</v>
      </c>
    </row>
    <row r="100" spans="1:21" ht="30.75" x14ac:dyDescent="0.3">
      <c r="A100" s="21" t="s">
        <v>1413</v>
      </c>
      <c r="B100" s="21" t="str">
        <f>Table1[[#This Row],[Code]]&amp;" "&amp;Table1[[#This Row],[Portico_Specialty]]</f>
        <v>261QM1100X Clinic/Center: Military/U.S. Coast Guard Outpatient</v>
      </c>
      <c r="C100" s="21" t="str">
        <f>CLEAN(Table1[[#This Row],[Code]])</f>
        <v>261QM1100X</v>
      </c>
      <c r="D100" s="1" t="s">
        <v>1414</v>
      </c>
      <c r="E100" s="1"/>
      <c r="F100" s="1" t="s">
        <v>2587</v>
      </c>
      <c r="G100" s="3" t="s">
        <v>2588</v>
      </c>
      <c r="H100" s="1" t="s">
        <v>2621</v>
      </c>
      <c r="I100" s="1"/>
      <c r="J100" s="1" t="s">
        <v>2621</v>
      </c>
      <c r="K100" s="1" t="s">
        <v>2621</v>
      </c>
      <c r="L100" s="1" t="s">
        <v>2621</v>
      </c>
      <c r="M100" s="1" t="s">
        <v>2621</v>
      </c>
      <c r="N100" s="1" t="s">
        <v>2621</v>
      </c>
      <c r="O100" s="1" t="s">
        <v>2621</v>
      </c>
      <c r="P100" s="9"/>
      <c r="R100" s="16">
        <f ca="1">IF(ISNUMBER(SEARCH(INDIRECT(CELL("address")),S100)),MAX($R$1:R99)+1,0)</f>
        <v>99</v>
      </c>
      <c r="S100" s="18" t="str">
        <f>Table1[[#This Row],[Portico_Specialty]]&amp;"-"&amp;Table1[[#This Row],[Code]]</f>
        <v>Clinic/Center: Military/U.S. Coast Guard Outpatient-261QM1100X</v>
      </c>
      <c r="U100" s="16" t="str">
        <f ca="1">IFERROR(VLOOKUP(ROWS($U$1:U99),$R$2:$S$918,2,FALSE),"")</f>
        <v>Clinic/Center: Military/U.S. Coast Guard Outpatient-261QM1100X</v>
      </c>
    </row>
    <row r="101" spans="1:21" x14ac:dyDescent="0.3">
      <c r="A101" s="21" t="s">
        <v>1423</v>
      </c>
      <c r="B101" s="21" t="str">
        <f>Table1[[#This Row],[Code]]&amp;" "&amp;Table1[[#This Row],[Portico_Specialty]]</f>
        <v>261QM1300X Clinic/Center: Multi-Specialty</v>
      </c>
      <c r="C101" s="21" t="str">
        <f>CLEAN(Table1[[#This Row],[Code]])</f>
        <v>261QM1300X</v>
      </c>
      <c r="D101" s="1" t="s">
        <v>1424</v>
      </c>
      <c r="E101" s="1"/>
      <c r="F101" s="4" t="s">
        <v>2619</v>
      </c>
      <c r="G101" s="4" t="s">
        <v>2593</v>
      </c>
      <c r="H101" s="1" t="s">
        <v>2621</v>
      </c>
      <c r="I101" s="1"/>
      <c r="J101" s="1" t="s">
        <v>2621</v>
      </c>
      <c r="K101" s="1" t="s">
        <v>2621</v>
      </c>
      <c r="L101" s="1" t="s">
        <v>2621</v>
      </c>
      <c r="M101" s="1" t="s">
        <v>2621</v>
      </c>
      <c r="N101" s="1" t="s">
        <v>2621</v>
      </c>
      <c r="O101" s="1" t="s">
        <v>2621</v>
      </c>
      <c r="P101" s="9"/>
      <c r="R101" s="16">
        <f ca="1">IF(ISNUMBER(SEARCH(INDIRECT(CELL("address")),S101)),MAX($R$1:R100)+1,0)</f>
        <v>100</v>
      </c>
      <c r="S101" s="18" t="str">
        <f>Table1[[#This Row],[Portico_Specialty]]&amp;"-"&amp;Table1[[#This Row],[Code]]</f>
        <v>Clinic/Center: Multi-Specialty-261QM1300X</v>
      </c>
      <c r="U101" s="16" t="str">
        <f ca="1">IFERROR(VLOOKUP(ROWS($U$1:U100),$R$2:$S$918,2,FALSE),"")</f>
        <v>Clinic/Center: Multi-Specialty-261QM1300X</v>
      </c>
    </row>
    <row r="102" spans="1:21" x14ac:dyDescent="0.3">
      <c r="A102" s="21" t="s">
        <v>1479</v>
      </c>
      <c r="B102" s="21" t="str">
        <f>Table1[[#This Row],[Code]]&amp;" "&amp;Table1[[#This Row],[Portico_Specialty]]</f>
        <v>261QX0100X Clinic/Center: Occupational Medicine</v>
      </c>
      <c r="C102" s="21" t="str">
        <f>CLEAN(Table1[[#This Row],[Code]])</f>
        <v>261QX0100X</v>
      </c>
      <c r="D102" s="1" t="s">
        <v>1480</v>
      </c>
      <c r="E102" s="1"/>
      <c r="F102" s="1" t="s">
        <v>2587</v>
      </c>
      <c r="G102" s="3" t="s">
        <v>2588</v>
      </c>
      <c r="H102" s="1" t="s">
        <v>2621</v>
      </c>
      <c r="I102" s="1"/>
      <c r="J102" s="1" t="s">
        <v>2621</v>
      </c>
      <c r="K102" s="1" t="s">
        <v>2621</v>
      </c>
      <c r="L102" s="1" t="s">
        <v>2621</v>
      </c>
      <c r="M102" s="1" t="s">
        <v>2621</v>
      </c>
      <c r="N102" s="1" t="s">
        <v>2621</v>
      </c>
      <c r="O102" s="1" t="s">
        <v>2621</v>
      </c>
      <c r="P102" s="9"/>
      <c r="R102" s="16">
        <f ca="1">IF(ISNUMBER(SEARCH(INDIRECT(CELL("address")),S102)),MAX($R$1:R101)+1,0)</f>
        <v>101</v>
      </c>
      <c r="S102" s="18" t="str">
        <f>Table1[[#This Row],[Portico_Specialty]]&amp;"-"&amp;Table1[[#This Row],[Code]]</f>
        <v>Clinic/Center: Occupational Medicine-261QX0100X</v>
      </c>
      <c r="U102" s="16" t="str">
        <f ca="1">IFERROR(VLOOKUP(ROWS($U$1:U101),$R$2:$S$918,2,FALSE),"")</f>
        <v>Clinic/Center: Occupational Medicine-261QX0100X</v>
      </c>
    </row>
    <row r="103" spans="1:21" x14ac:dyDescent="0.3">
      <c r="A103" s="21" t="s">
        <v>1481</v>
      </c>
      <c r="B103" s="21" t="str">
        <f>Table1[[#This Row],[Code]]&amp;" "&amp;Table1[[#This Row],[Portico_Specialty]]</f>
        <v>261QX0200X Clinic/Center: Oncology</v>
      </c>
      <c r="C103" s="21" t="str">
        <f>CLEAN(Table1[[#This Row],[Code]])</f>
        <v>261QX0200X</v>
      </c>
      <c r="D103" s="1" t="s">
        <v>1482</v>
      </c>
      <c r="E103" s="1"/>
      <c r="F103" s="1" t="s">
        <v>2587</v>
      </c>
      <c r="G103" s="3" t="s">
        <v>2588</v>
      </c>
      <c r="H103" s="1" t="s">
        <v>2621</v>
      </c>
      <c r="I103" s="1"/>
      <c r="J103" s="1" t="s">
        <v>2621</v>
      </c>
      <c r="K103" s="1" t="s">
        <v>2621</v>
      </c>
      <c r="L103" s="1" t="s">
        <v>2621</v>
      </c>
      <c r="M103" s="1" t="s">
        <v>2621</v>
      </c>
      <c r="N103" s="1" t="s">
        <v>2621</v>
      </c>
      <c r="O103" s="1" t="s">
        <v>2621</v>
      </c>
      <c r="P103" s="9"/>
      <c r="R103" s="16">
        <f ca="1">IF(ISNUMBER(SEARCH(INDIRECT(CELL("address")),S103)),MAX($R$1:R102)+1,0)</f>
        <v>102</v>
      </c>
      <c r="S103" s="18" t="str">
        <f>Table1[[#This Row],[Portico_Specialty]]&amp;"-"&amp;Table1[[#This Row],[Code]]</f>
        <v>Clinic/Center: Oncology-261QX0200X</v>
      </c>
      <c r="U103" s="16" t="str">
        <f ca="1">IFERROR(VLOOKUP(ROWS($U$1:U102),$R$2:$S$918,2,FALSE),"")</f>
        <v>Clinic/Center: Oncology-261QX0200X</v>
      </c>
    </row>
    <row r="104" spans="1:21" x14ac:dyDescent="0.3">
      <c r="A104" s="21" t="s">
        <v>1483</v>
      </c>
      <c r="B104" s="21" t="str">
        <f>Table1[[#This Row],[Code]]&amp;" "&amp;Table1[[#This Row],[Portico_Specialty]]</f>
        <v>261QX0203X Clinic/Center: Oncology, Radiation</v>
      </c>
      <c r="C104" s="21" t="str">
        <f>CLEAN(Table1[[#This Row],[Code]])</f>
        <v>261QX0203X</v>
      </c>
      <c r="D104" s="1" t="s">
        <v>1484</v>
      </c>
      <c r="E104" s="1"/>
      <c r="F104" s="1" t="s">
        <v>2587</v>
      </c>
      <c r="G104" s="3" t="s">
        <v>2588</v>
      </c>
      <c r="H104" s="1" t="s">
        <v>2621</v>
      </c>
      <c r="I104" s="1"/>
      <c r="J104" s="1" t="s">
        <v>2621</v>
      </c>
      <c r="K104" s="1" t="s">
        <v>2621</v>
      </c>
      <c r="L104" s="1" t="s">
        <v>2621</v>
      </c>
      <c r="M104" s="1" t="s">
        <v>2621</v>
      </c>
      <c r="N104" s="1" t="s">
        <v>2621</v>
      </c>
      <c r="O104" s="1" t="s">
        <v>2621</v>
      </c>
      <c r="P104" s="9"/>
      <c r="R104" s="16">
        <f ca="1">IF(ISNUMBER(SEARCH(INDIRECT(CELL("address")),S104)),MAX($R$1:R103)+1,0)</f>
        <v>103</v>
      </c>
      <c r="S104" s="18" t="str">
        <f>Table1[[#This Row],[Portico_Specialty]]&amp;"-"&amp;Table1[[#This Row],[Code]]</f>
        <v>Clinic/Center: Oncology, Radiation-261QX0203X</v>
      </c>
      <c r="U104" s="16" t="str">
        <f ca="1">IFERROR(VLOOKUP(ROWS($U$1:U103),$R$2:$S$918,2,FALSE),"")</f>
        <v>Clinic/Center: Oncology, Radiation-261QX0203X</v>
      </c>
    </row>
    <row r="105" spans="1:21" x14ac:dyDescent="0.3">
      <c r="A105" s="21" t="s">
        <v>1469</v>
      </c>
      <c r="B105" s="21" t="str">
        <f>Table1[[#This Row],[Code]]&amp;" "&amp;Table1[[#This Row],[Portico_Specialty]]</f>
        <v>261QS0132X Clinic/Center: Ophthalmologic Surgery</v>
      </c>
      <c r="C105" s="21" t="str">
        <f>CLEAN(Table1[[#This Row],[Code]])</f>
        <v>261QS0132X</v>
      </c>
      <c r="D105" s="1" t="s">
        <v>1470</v>
      </c>
      <c r="E105" s="1"/>
      <c r="F105" s="1" t="s">
        <v>2587</v>
      </c>
      <c r="G105" s="3" t="s">
        <v>2588</v>
      </c>
      <c r="H105" s="1" t="s">
        <v>2645</v>
      </c>
      <c r="I105" s="1"/>
      <c r="J105" s="1" t="s">
        <v>2645</v>
      </c>
      <c r="K105" s="1" t="s">
        <v>2621</v>
      </c>
      <c r="L105" s="1" t="s">
        <v>2645</v>
      </c>
      <c r="M105" s="1" t="s">
        <v>2645</v>
      </c>
      <c r="N105" s="1" t="s">
        <v>2645</v>
      </c>
      <c r="O105" s="1" t="s">
        <v>2621</v>
      </c>
      <c r="P105" s="9"/>
      <c r="R105" s="16">
        <f ca="1">IF(ISNUMBER(SEARCH(INDIRECT(CELL("address")),S105)),MAX($R$1:R104)+1,0)</f>
        <v>104</v>
      </c>
      <c r="S105" s="18" t="str">
        <f>Table1[[#This Row],[Portico_Specialty]]&amp;"-"&amp;Table1[[#This Row],[Code]]</f>
        <v>Clinic/Center: Ophthalmologic Surgery-261QS0132X</v>
      </c>
      <c r="U105" s="16" t="str">
        <f ca="1">IFERROR(VLOOKUP(ROWS($U$1:U104),$R$2:$S$918,2,FALSE),"")</f>
        <v>Clinic/Center: Ophthalmologic Surgery-261QS0132X</v>
      </c>
    </row>
    <row r="106" spans="1:21" ht="30.75" x14ac:dyDescent="0.3">
      <c r="A106" s="21" t="s">
        <v>1467</v>
      </c>
      <c r="B106" s="21" t="str">
        <f>Table1[[#This Row],[Code]]&amp;" "&amp;Table1[[#This Row],[Portico_Specialty]]</f>
        <v>261QS0112X Clinic/Center: Oral and Maxillofacial Surgery</v>
      </c>
      <c r="C106" s="21" t="str">
        <f>CLEAN(Table1[[#This Row],[Code]])</f>
        <v>261QS0112X</v>
      </c>
      <c r="D106" s="1" t="s">
        <v>1468</v>
      </c>
      <c r="E106" s="1"/>
      <c r="F106" s="1" t="s">
        <v>2587</v>
      </c>
      <c r="G106" s="3" t="s">
        <v>2588</v>
      </c>
      <c r="H106" s="1" t="s">
        <v>2621</v>
      </c>
      <c r="I106" s="1"/>
      <c r="J106" s="1" t="s">
        <v>2645</v>
      </c>
      <c r="K106" s="1" t="s">
        <v>2592</v>
      </c>
      <c r="L106" s="1" t="s">
        <v>2645</v>
      </c>
      <c r="M106" s="1" t="s">
        <v>2645</v>
      </c>
      <c r="N106" s="1"/>
      <c r="O106" s="1" t="s">
        <v>2592</v>
      </c>
      <c r="P106" s="9"/>
      <c r="R106" s="16">
        <f ca="1">IF(ISNUMBER(SEARCH(INDIRECT(CELL("address")),S106)),MAX($R$1:R105)+1,0)</f>
        <v>105</v>
      </c>
      <c r="S106" s="18" t="str">
        <f>Table1[[#This Row],[Portico_Specialty]]&amp;"-"&amp;Table1[[#This Row],[Code]]</f>
        <v>Clinic/Center: Oral and Maxillofacial Surgery-261QS0112X</v>
      </c>
      <c r="U106" s="16" t="str">
        <f ca="1">IFERROR(VLOOKUP(ROWS($U$1:U105),$R$2:$S$918,2,FALSE),"")</f>
        <v>Clinic/Center: Oral and Maxillofacial Surgery-261QS0112X</v>
      </c>
    </row>
    <row r="107" spans="1:21" x14ac:dyDescent="0.3">
      <c r="A107" s="21" t="s">
        <v>1443</v>
      </c>
      <c r="B107" s="21" t="str">
        <f>Table1[[#This Row],[Code]]&amp;" "&amp;Table1[[#This Row],[Portico_Specialty]]</f>
        <v>261QP3300X Clinic/Center: Pain</v>
      </c>
      <c r="C107" s="21" t="str">
        <f>CLEAN(Table1[[#This Row],[Code]])</f>
        <v>261QP3300X</v>
      </c>
      <c r="D107" s="1" t="s">
        <v>1444</v>
      </c>
      <c r="E107" s="1"/>
      <c r="F107" s="1" t="s">
        <v>2587</v>
      </c>
      <c r="G107" s="3" t="s">
        <v>2588</v>
      </c>
      <c r="H107" s="1" t="s">
        <v>2621</v>
      </c>
      <c r="I107" s="1"/>
      <c r="J107" s="1" t="s">
        <v>2621</v>
      </c>
      <c r="K107" s="1" t="s">
        <v>2621</v>
      </c>
      <c r="L107" s="1" t="s">
        <v>2621</v>
      </c>
      <c r="M107" s="1" t="s">
        <v>2621</v>
      </c>
      <c r="N107" s="1" t="s">
        <v>2606</v>
      </c>
      <c r="O107" s="1" t="s">
        <v>2621</v>
      </c>
      <c r="P107" s="9"/>
      <c r="R107" s="16">
        <f ca="1">IF(ISNUMBER(SEARCH(INDIRECT(CELL("address")),S107)),MAX($R$1:R106)+1,0)</f>
        <v>106</v>
      </c>
      <c r="S107" s="18" t="str">
        <f>Table1[[#This Row],[Portico_Specialty]]&amp;"-"&amp;Table1[[#This Row],[Code]]</f>
        <v>Clinic/Center: Pain-261QP3300X</v>
      </c>
      <c r="U107" s="16" t="str">
        <f ca="1">IFERROR(VLOOKUP(ROWS($U$1:U106),$R$2:$S$918,2,FALSE),"")</f>
        <v>Clinic/Center: Pain-261QP3300X</v>
      </c>
    </row>
    <row r="108" spans="1:21" x14ac:dyDescent="0.3">
      <c r="A108" s="21" t="s">
        <v>1437</v>
      </c>
      <c r="B108" s="21" t="str">
        <f>Table1[[#This Row],[Code]]&amp;" "&amp;Table1[[#This Row],[Portico_Specialty]]</f>
        <v>261QP2000X Clinic/Center: Physical Therapy</v>
      </c>
      <c r="C108" s="21" t="str">
        <f>CLEAN(Table1[[#This Row],[Code]])</f>
        <v>261QP2000X</v>
      </c>
      <c r="D108" s="1" t="s">
        <v>1438</v>
      </c>
      <c r="E108" s="1"/>
      <c r="F108" s="1" t="s">
        <v>2587</v>
      </c>
      <c r="G108" s="4" t="s">
        <v>2593</v>
      </c>
      <c r="H108" s="1" t="s">
        <v>2621</v>
      </c>
      <c r="I108" s="1"/>
      <c r="J108" s="1" t="s">
        <v>2621</v>
      </c>
      <c r="K108" s="1" t="s">
        <v>2621</v>
      </c>
      <c r="L108" s="1" t="s">
        <v>2621</v>
      </c>
      <c r="M108" s="1" t="s">
        <v>2621</v>
      </c>
      <c r="N108" s="1" t="s">
        <v>2621</v>
      </c>
      <c r="O108" s="1" t="s">
        <v>2621</v>
      </c>
      <c r="P108" s="9"/>
      <c r="R108" s="16">
        <f ca="1">IF(ISNUMBER(SEARCH(INDIRECT(CELL("address")),S108)),MAX($R$1:R107)+1,0)</f>
        <v>107</v>
      </c>
      <c r="S108" s="18" t="str">
        <f>Table1[[#This Row],[Portico_Specialty]]&amp;"-"&amp;Table1[[#This Row],[Code]]</f>
        <v>Clinic/Center: Physical Therapy-261QP2000X</v>
      </c>
      <c r="U108" s="16" t="str">
        <f ca="1">IFERROR(VLOOKUP(ROWS($U$1:U107),$R$2:$S$918,2,FALSE),"")</f>
        <v>Clinic/Center: Physical Therapy-261QP2000X</v>
      </c>
    </row>
    <row r="109" spans="1:21" x14ac:dyDescent="0.3">
      <c r="A109" s="21" t="s">
        <v>1435</v>
      </c>
      <c r="B109" s="21" t="str">
        <f>Table1[[#This Row],[Code]]&amp;" "&amp;Table1[[#This Row],[Portico_Specialty]]</f>
        <v>261QP1100X Clinic/Center: Podiatric</v>
      </c>
      <c r="C109" s="21" t="str">
        <f>CLEAN(Table1[[#This Row],[Code]])</f>
        <v>261QP1100X</v>
      </c>
      <c r="D109" s="1" t="s">
        <v>1436</v>
      </c>
      <c r="E109" s="1"/>
      <c r="F109" s="1" t="s">
        <v>2587</v>
      </c>
      <c r="G109" s="3" t="s">
        <v>2588</v>
      </c>
      <c r="H109" s="1" t="s">
        <v>2621</v>
      </c>
      <c r="I109" s="1"/>
      <c r="J109" s="1" t="s">
        <v>2621</v>
      </c>
      <c r="K109" s="1" t="s">
        <v>2621</v>
      </c>
      <c r="L109" s="1" t="s">
        <v>2621</v>
      </c>
      <c r="M109" s="1" t="s">
        <v>2621</v>
      </c>
      <c r="N109" s="1" t="s">
        <v>2621</v>
      </c>
      <c r="O109" s="1" t="s">
        <v>2621</v>
      </c>
      <c r="P109" s="9"/>
      <c r="R109" s="16">
        <f ca="1">IF(ISNUMBER(SEARCH(INDIRECT(CELL("address")),S109)),MAX($R$1:R108)+1,0)</f>
        <v>108</v>
      </c>
      <c r="S109" s="18" t="str">
        <f>Table1[[#This Row],[Portico_Specialty]]&amp;"-"&amp;Table1[[#This Row],[Code]]</f>
        <v>Clinic/Center: Podiatric-261QP1100X</v>
      </c>
      <c r="U109" s="16" t="str">
        <f ca="1">IFERROR(VLOOKUP(ROWS($U$1:U108),$R$2:$S$918,2,FALSE),"")</f>
        <v>Clinic/Center: Podiatric-261QP1100X</v>
      </c>
    </row>
    <row r="110" spans="1:21" x14ac:dyDescent="0.3">
      <c r="A110" s="21" t="s">
        <v>1439</v>
      </c>
      <c r="B110" s="21" t="str">
        <f>Table1[[#This Row],[Code]]&amp;" "&amp;Table1[[#This Row],[Portico_Specialty]]</f>
        <v>261QP2300X Clinic/Center: Primary Care</v>
      </c>
      <c r="C110" s="21" t="str">
        <f>CLEAN(Table1[[#This Row],[Code]])</f>
        <v>261QP2300X</v>
      </c>
      <c r="D110" s="1" t="s">
        <v>1440</v>
      </c>
      <c r="E110" s="1"/>
      <c r="F110" s="1" t="s">
        <v>2587</v>
      </c>
      <c r="G110" s="3" t="s">
        <v>2588</v>
      </c>
      <c r="H110" s="1" t="s">
        <v>2621</v>
      </c>
      <c r="I110" s="1"/>
      <c r="J110" s="1" t="s">
        <v>2621</v>
      </c>
      <c r="K110" s="1" t="s">
        <v>2621</v>
      </c>
      <c r="L110" s="1" t="s">
        <v>2621</v>
      </c>
      <c r="M110" s="1" t="s">
        <v>2621</v>
      </c>
      <c r="N110" s="1" t="s">
        <v>2621</v>
      </c>
      <c r="O110" s="1" t="s">
        <v>2621</v>
      </c>
      <c r="P110" s="9"/>
      <c r="R110" s="16">
        <f ca="1">IF(ISNUMBER(SEARCH(INDIRECT(CELL("address")),S110)),MAX($R$1:R109)+1,0)</f>
        <v>109</v>
      </c>
      <c r="S110" s="18" t="str">
        <f>Table1[[#This Row],[Portico_Specialty]]&amp;"-"&amp;Table1[[#This Row],[Code]]</f>
        <v>Clinic/Center: Primary Care-261QP2300X</v>
      </c>
      <c r="U110" s="16" t="str">
        <f ca="1">IFERROR(VLOOKUP(ROWS($U$1:U109),$R$2:$S$918,2,FALSE),"")</f>
        <v>Clinic/Center: Primary Care-261QP2300X</v>
      </c>
    </row>
    <row r="111" spans="1:21" x14ac:dyDescent="0.3">
      <c r="A111" s="21" t="s">
        <v>1441</v>
      </c>
      <c r="B111" s="21" t="str">
        <f>Table1[[#This Row],[Code]]&amp;" "&amp;Table1[[#This Row],[Portico_Specialty]]</f>
        <v>261QP2400X Clinic/Center: Prison Health</v>
      </c>
      <c r="C111" s="21" t="str">
        <f>CLEAN(Table1[[#This Row],[Code]])</f>
        <v>261QP2400X</v>
      </c>
      <c r="D111" s="1" t="s">
        <v>1442</v>
      </c>
      <c r="E111" s="1"/>
      <c r="F111" s="1" t="s">
        <v>2587</v>
      </c>
      <c r="G111" s="3" t="s">
        <v>2588</v>
      </c>
      <c r="H111" s="1" t="s">
        <v>2621</v>
      </c>
      <c r="I111" s="1"/>
      <c r="J111" s="1" t="s">
        <v>2621</v>
      </c>
      <c r="K111" s="1" t="s">
        <v>2621</v>
      </c>
      <c r="L111" s="1" t="s">
        <v>2621</v>
      </c>
      <c r="M111" s="1" t="s">
        <v>2621</v>
      </c>
      <c r="N111" s="1" t="s">
        <v>2621</v>
      </c>
      <c r="O111" s="1" t="s">
        <v>2621</v>
      </c>
      <c r="P111" s="9"/>
      <c r="R111" s="16">
        <f ca="1">IF(ISNUMBER(SEARCH(INDIRECT(CELL("address")),S111)),MAX($R$1:R110)+1,0)</f>
        <v>110</v>
      </c>
      <c r="S111" s="18" t="str">
        <f>Table1[[#This Row],[Portico_Specialty]]&amp;"-"&amp;Table1[[#This Row],[Code]]</f>
        <v>Clinic/Center: Prison Health-261QP2400X</v>
      </c>
      <c r="U111" s="16" t="str">
        <f ca="1">IFERROR(VLOOKUP(ROWS($U$1:U110),$R$2:$S$918,2,FALSE),"")</f>
        <v>Clinic/Center: Prison Health-261QP2400X</v>
      </c>
    </row>
    <row r="112" spans="1:21" x14ac:dyDescent="0.3">
      <c r="A112" s="21" t="s">
        <v>1431</v>
      </c>
      <c r="B112" s="21" t="str">
        <f>Table1[[#This Row],[Code]]&amp;" "&amp;Table1[[#This Row],[Portico_Specialty]]</f>
        <v>261QP0904X Clinic/Center: Public Health, Federal</v>
      </c>
      <c r="C112" s="21" t="str">
        <f>CLEAN(Table1[[#This Row],[Code]])</f>
        <v>261QP0904X</v>
      </c>
      <c r="D112" s="1" t="s">
        <v>1432</v>
      </c>
      <c r="E112" s="1"/>
      <c r="F112" s="1" t="s">
        <v>2587</v>
      </c>
      <c r="G112" s="3" t="s">
        <v>2588</v>
      </c>
      <c r="H112" s="1" t="s">
        <v>2621</v>
      </c>
      <c r="I112" s="1"/>
      <c r="J112" s="1" t="s">
        <v>2621</v>
      </c>
      <c r="K112" s="1" t="s">
        <v>2621</v>
      </c>
      <c r="L112" s="1" t="s">
        <v>2621</v>
      </c>
      <c r="M112" s="1" t="s">
        <v>2621</v>
      </c>
      <c r="N112" s="1" t="s">
        <v>2621</v>
      </c>
      <c r="O112" s="1" t="s">
        <v>2621</v>
      </c>
      <c r="P112" s="9"/>
      <c r="R112" s="16">
        <f ca="1">IF(ISNUMBER(SEARCH(INDIRECT(CELL("address")),S112)),MAX($R$1:R111)+1,0)</f>
        <v>111</v>
      </c>
      <c r="S112" s="18" t="str">
        <f>Table1[[#This Row],[Portico_Specialty]]&amp;"-"&amp;Table1[[#This Row],[Code]]</f>
        <v>Clinic/Center: Public Health, Federal-261QP0904X</v>
      </c>
      <c r="U112" s="16" t="str">
        <f ca="1">IFERROR(VLOOKUP(ROWS($U$1:U111),$R$2:$S$918,2,FALSE),"")</f>
        <v>Clinic/Center: Public Health, Federal-261QP0904X</v>
      </c>
    </row>
    <row r="113" spans="1:21" x14ac:dyDescent="0.3">
      <c r="A113" s="21" t="s">
        <v>1433</v>
      </c>
      <c r="B113" s="21" t="str">
        <f>Table1[[#This Row],[Code]]&amp;" "&amp;Table1[[#This Row],[Portico_Specialty]]</f>
        <v>261QP0905X Clinic/Center: Public Health, State or Local</v>
      </c>
      <c r="C113" s="21" t="str">
        <f>CLEAN(Table1[[#This Row],[Code]])</f>
        <v>261QP0905X</v>
      </c>
      <c r="D113" s="1" t="s">
        <v>1434</v>
      </c>
      <c r="E113" s="1"/>
      <c r="F113" s="1" t="s">
        <v>2587</v>
      </c>
      <c r="G113" s="3" t="s">
        <v>2588</v>
      </c>
      <c r="H113" s="1" t="s">
        <v>2621</v>
      </c>
      <c r="I113" s="1"/>
      <c r="J113" s="1" t="s">
        <v>2621</v>
      </c>
      <c r="K113" s="1" t="s">
        <v>2621</v>
      </c>
      <c r="L113" s="1" t="s">
        <v>2621</v>
      </c>
      <c r="M113" s="1" t="s">
        <v>2621</v>
      </c>
      <c r="N113" s="1" t="s">
        <v>2621</v>
      </c>
      <c r="O113" s="1" t="s">
        <v>2621</v>
      </c>
      <c r="P113" s="9"/>
      <c r="R113" s="16">
        <f ca="1">IF(ISNUMBER(SEARCH(INDIRECT(CELL("address")),S113)),MAX($R$1:R112)+1,0)</f>
        <v>112</v>
      </c>
      <c r="S113" s="18" t="str">
        <f>Table1[[#This Row],[Portico_Specialty]]&amp;"-"&amp;Table1[[#This Row],[Code]]</f>
        <v>Clinic/Center: Public Health, State or Local-261QP0905X</v>
      </c>
      <c r="U113" s="16" t="str">
        <f ca="1">IFERROR(VLOOKUP(ROWS($U$1:U112),$R$2:$S$918,2,FALSE),"")</f>
        <v>Clinic/Center: Public Health, State or Local-261QP0905X</v>
      </c>
    </row>
    <row r="114" spans="1:21" x14ac:dyDescent="0.3">
      <c r="A114" s="21" t="s">
        <v>1445</v>
      </c>
      <c r="B114" s="21" t="str">
        <f>Table1[[#This Row],[Code]]&amp;" "&amp;Table1[[#This Row],[Portico_Specialty]]</f>
        <v>261QR0200X Clinic/Center: Radiology</v>
      </c>
      <c r="C114" s="21" t="str">
        <f>CLEAN(Table1[[#This Row],[Code]])</f>
        <v>261QR0200X</v>
      </c>
      <c r="D114" s="1" t="s">
        <v>1446</v>
      </c>
      <c r="E114" s="1"/>
      <c r="F114" s="1" t="s">
        <v>2587</v>
      </c>
      <c r="G114" s="4" t="s">
        <v>2593</v>
      </c>
      <c r="H114" s="1" t="s">
        <v>2621</v>
      </c>
      <c r="I114" s="1"/>
      <c r="J114" s="1" t="s">
        <v>2621</v>
      </c>
      <c r="K114" s="1" t="s">
        <v>2621</v>
      </c>
      <c r="L114" s="1" t="s">
        <v>2621</v>
      </c>
      <c r="M114" s="1" t="s">
        <v>2621</v>
      </c>
      <c r="N114" s="1" t="s">
        <v>2656</v>
      </c>
      <c r="O114" s="1" t="s">
        <v>2621</v>
      </c>
      <c r="P114" s="9"/>
      <c r="R114" s="16">
        <f ca="1">IF(ISNUMBER(SEARCH(INDIRECT(CELL("address")),S114)),MAX($R$1:R113)+1,0)</f>
        <v>113</v>
      </c>
      <c r="S114" s="18" t="str">
        <f>Table1[[#This Row],[Portico_Specialty]]&amp;"-"&amp;Table1[[#This Row],[Code]]</f>
        <v>Clinic/Center: Radiology-261QR0200X</v>
      </c>
      <c r="U114" s="16" t="str">
        <f ca="1">IFERROR(VLOOKUP(ROWS($U$1:U113),$R$2:$S$918,2,FALSE),"")</f>
        <v>Clinic/Center: Radiology-261QR0200X</v>
      </c>
    </row>
    <row r="115" spans="1:21" x14ac:dyDescent="0.3">
      <c r="A115" s="21" t="s">
        <v>1447</v>
      </c>
      <c r="B115" s="21" t="str">
        <f>Table1[[#This Row],[Code]]&amp;" "&amp;Table1[[#This Row],[Portico_Specialty]]</f>
        <v>261QR0206X Clinic/Center: Radiology, Mammography</v>
      </c>
      <c r="C115" s="21" t="str">
        <f>CLEAN(Table1[[#This Row],[Code]])</f>
        <v>261QR0206X</v>
      </c>
      <c r="D115" s="1" t="s">
        <v>1448</v>
      </c>
      <c r="E115" s="1"/>
      <c r="F115" s="1" t="s">
        <v>2587</v>
      </c>
      <c r="G115" s="3" t="s">
        <v>2588</v>
      </c>
      <c r="H115" s="1" t="s">
        <v>2621</v>
      </c>
      <c r="I115" s="1"/>
      <c r="J115" s="1" t="s">
        <v>2657</v>
      </c>
      <c r="K115" s="1" t="s">
        <v>2621</v>
      </c>
      <c r="L115" s="1" t="s">
        <v>2621</v>
      </c>
      <c r="M115" s="1" t="s">
        <v>2657</v>
      </c>
      <c r="N115" s="1" t="s">
        <v>2657</v>
      </c>
      <c r="O115" s="1" t="s">
        <v>2621</v>
      </c>
      <c r="P115" s="9"/>
      <c r="R115" s="16">
        <f ca="1">IF(ISNUMBER(SEARCH(INDIRECT(CELL("address")),S115)),MAX($R$1:R114)+1,0)</f>
        <v>114</v>
      </c>
      <c r="S115" s="18" t="str">
        <f>Table1[[#This Row],[Portico_Specialty]]&amp;"-"&amp;Table1[[#This Row],[Code]]</f>
        <v>Clinic/Center: Radiology, Mammography-261QR0206X</v>
      </c>
      <c r="U115" s="16" t="str">
        <f ca="1">IFERROR(VLOOKUP(ROWS($U$1:U114),$R$2:$S$918,2,FALSE),"")</f>
        <v>Clinic/Center: Radiology, Mammography-261QR0206X</v>
      </c>
    </row>
    <row r="116" spans="1:21" x14ac:dyDescent="0.3">
      <c r="A116" s="21" t="s">
        <v>1451</v>
      </c>
      <c r="B116" s="21" t="str">
        <f>Table1[[#This Row],[Code]]&amp;" "&amp;Table1[[#This Row],[Portico_Specialty]]</f>
        <v>261QR0208X Clinic/Center: Radiology, Mobile</v>
      </c>
      <c r="C116" s="21" t="str">
        <f>CLEAN(Table1[[#This Row],[Code]])</f>
        <v>261QR0208X</v>
      </c>
      <c r="D116" s="1" t="s">
        <v>1452</v>
      </c>
      <c r="E116" s="1"/>
      <c r="F116" s="1" t="s">
        <v>2587</v>
      </c>
      <c r="G116" s="4" t="s">
        <v>2593</v>
      </c>
      <c r="H116" s="1" t="s">
        <v>2621</v>
      </c>
      <c r="I116" s="1"/>
      <c r="J116" s="1" t="s">
        <v>2621</v>
      </c>
      <c r="K116" s="1" t="s">
        <v>2621</v>
      </c>
      <c r="L116" s="1" t="s">
        <v>2621</v>
      </c>
      <c r="M116" s="1" t="s">
        <v>2621</v>
      </c>
      <c r="N116" s="1" t="s">
        <v>2621</v>
      </c>
      <c r="O116" s="1" t="s">
        <v>2621</v>
      </c>
      <c r="P116" s="9"/>
      <c r="R116" s="16">
        <f ca="1">IF(ISNUMBER(SEARCH(INDIRECT(CELL("address")),S116)),MAX($R$1:R115)+1,0)</f>
        <v>115</v>
      </c>
      <c r="S116" s="18" t="str">
        <f>Table1[[#This Row],[Portico_Specialty]]&amp;"-"&amp;Table1[[#This Row],[Code]]</f>
        <v>Clinic/Center: Radiology, Mobile-261QR0208X</v>
      </c>
      <c r="U116" s="16" t="str">
        <f ca="1">IFERROR(VLOOKUP(ROWS($U$1:U115),$R$2:$S$918,2,FALSE),"")</f>
        <v>Clinic/Center: Radiology, Mobile-261QR0208X</v>
      </c>
    </row>
    <row r="117" spans="1:21" ht="30.75" x14ac:dyDescent="0.3">
      <c r="A117" s="21" t="s">
        <v>1449</v>
      </c>
      <c r="B117" s="21" t="str">
        <f>Table1[[#This Row],[Code]]&amp;" "&amp;Table1[[#This Row],[Portico_Specialty]]</f>
        <v>261QR0207X Clinic/Center: Radiology, Mobile Mammography</v>
      </c>
      <c r="C117" s="21" t="str">
        <f>CLEAN(Table1[[#This Row],[Code]])</f>
        <v>261QR0207X</v>
      </c>
      <c r="D117" s="1" t="s">
        <v>1450</v>
      </c>
      <c r="E117" s="1"/>
      <c r="F117" s="1" t="s">
        <v>2587</v>
      </c>
      <c r="G117" s="4" t="s">
        <v>2593</v>
      </c>
      <c r="H117" s="1" t="s">
        <v>2621</v>
      </c>
      <c r="I117" s="1"/>
      <c r="J117" s="1" t="s">
        <v>2657</v>
      </c>
      <c r="K117" s="1" t="s">
        <v>2621</v>
      </c>
      <c r="L117" s="1" t="s">
        <v>2621</v>
      </c>
      <c r="M117" s="1" t="s">
        <v>2657</v>
      </c>
      <c r="N117" s="1" t="s">
        <v>2657</v>
      </c>
      <c r="O117" s="1" t="s">
        <v>2621</v>
      </c>
      <c r="P117" s="9"/>
      <c r="R117" s="16">
        <f ca="1">IF(ISNUMBER(SEARCH(INDIRECT(CELL("address")),S117)),MAX($R$1:R116)+1,0)</f>
        <v>116</v>
      </c>
      <c r="S117" s="18" t="str">
        <f>Table1[[#This Row],[Portico_Specialty]]&amp;"-"&amp;Table1[[#This Row],[Code]]</f>
        <v>Clinic/Center: Radiology, Mobile Mammography-261QR0207X</v>
      </c>
      <c r="U117" s="16" t="str">
        <f ca="1">IFERROR(VLOOKUP(ROWS($U$1:U116),$R$2:$S$918,2,FALSE),"")</f>
        <v>Clinic/Center: Radiology, Mobile Mammography-261QR0207X</v>
      </c>
    </row>
    <row r="118" spans="1:21" x14ac:dyDescent="0.3">
      <c r="A118" s="21" t="s">
        <v>1461</v>
      </c>
      <c r="B118" s="21" t="str">
        <f>Table1[[#This Row],[Code]]&amp;" "&amp;Table1[[#This Row],[Portico_Specialty]]</f>
        <v>261QR0800X Clinic/Center: Recovery Care</v>
      </c>
      <c r="C118" s="21" t="str">
        <f>CLEAN(Table1[[#This Row],[Code]])</f>
        <v>261QR0800X</v>
      </c>
      <c r="D118" s="1" t="s">
        <v>1462</v>
      </c>
      <c r="E118" s="1"/>
      <c r="F118" s="1" t="s">
        <v>2607</v>
      </c>
      <c r="G118" s="3" t="s">
        <v>2588</v>
      </c>
      <c r="H118" s="1" t="s">
        <v>2621</v>
      </c>
      <c r="I118" s="1"/>
      <c r="J118" s="1" t="s">
        <v>2621</v>
      </c>
      <c r="K118" s="1" t="s">
        <v>2621</v>
      </c>
      <c r="L118" s="1" t="s">
        <v>2621</v>
      </c>
      <c r="M118" s="1" t="s">
        <v>2621</v>
      </c>
      <c r="N118" s="1" t="s">
        <v>2621</v>
      </c>
      <c r="O118" s="1" t="s">
        <v>2621</v>
      </c>
      <c r="P118" s="9"/>
      <c r="R118" s="16">
        <f ca="1">IF(ISNUMBER(SEARCH(INDIRECT(CELL("address")),S118)),MAX($R$1:R117)+1,0)</f>
        <v>117</v>
      </c>
      <c r="S118" s="18" t="str">
        <f>Table1[[#This Row],[Portico_Specialty]]&amp;"-"&amp;Table1[[#This Row],[Code]]</f>
        <v>Clinic/Center: Recovery Care-261QR0800X</v>
      </c>
      <c r="U118" s="16" t="str">
        <f ca="1">IFERROR(VLOOKUP(ROWS($U$1:U117),$R$2:$S$918,2,FALSE),"")</f>
        <v>Clinic/Center: Recovery Care-261QR0800X</v>
      </c>
    </row>
    <row r="119" spans="1:21" x14ac:dyDescent="0.3">
      <c r="A119" s="21" t="s">
        <v>1453</v>
      </c>
      <c r="B119" s="21" t="str">
        <f>Table1[[#This Row],[Code]]&amp;" "&amp;Table1[[#This Row],[Portico_Specialty]]</f>
        <v>261QR0400X Clinic/Center: Rehabilitation</v>
      </c>
      <c r="C119" s="21" t="str">
        <f>CLEAN(Table1[[#This Row],[Code]])</f>
        <v>261QR0400X</v>
      </c>
      <c r="D119" s="1" t="s">
        <v>1454</v>
      </c>
      <c r="E119" s="1"/>
      <c r="F119" s="1" t="s">
        <v>2587</v>
      </c>
      <c r="G119" s="4" t="s">
        <v>2593</v>
      </c>
      <c r="H119" s="1" t="s">
        <v>2621</v>
      </c>
      <c r="I119" s="1"/>
      <c r="J119" s="1" t="s">
        <v>2621</v>
      </c>
      <c r="K119" s="1" t="s">
        <v>2621</v>
      </c>
      <c r="L119" s="1" t="s">
        <v>2621</v>
      </c>
      <c r="M119" s="1" t="s">
        <v>2621</v>
      </c>
      <c r="N119" s="1" t="s">
        <v>2658</v>
      </c>
      <c r="O119" s="1" t="s">
        <v>2621</v>
      </c>
      <c r="P119" s="9"/>
      <c r="R119" s="16">
        <f ca="1">IF(ISNUMBER(SEARCH(INDIRECT(CELL("address")),S119)),MAX($R$1:R118)+1,0)</f>
        <v>118</v>
      </c>
      <c r="S119" s="18" t="str">
        <f>Table1[[#This Row],[Portico_Specialty]]&amp;"-"&amp;Table1[[#This Row],[Code]]</f>
        <v>Clinic/Center: Rehabilitation-261QR0400X</v>
      </c>
      <c r="U119" s="16" t="str">
        <f ca="1">IFERROR(VLOOKUP(ROWS($U$1:U118),$R$2:$S$918,2,FALSE),"")</f>
        <v>Clinic/Center: Rehabilitation-261QR0400X</v>
      </c>
    </row>
    <row r="120" spans="1:21" ht="30.75" x14ac:dyDescent="0.3">
      <c r="A120" s="21" t="s">
        <v>1457</v>
      </c>
      <c r="B120" s="21" t="str">
        <f>Table1[[#This Row],[Code]]&amp;" "&amp;Table1[[#This Row],[Portico_Specialty]]</f>
        <v>261QR0404X Clinic/Center: Rehabilitation, Cardiac Facilities</v>
      </c>
      <c r="C120" s="21" t="str">
        <f>CLEAN(Table1[[#This Row],[Code]])</f>
        <v>261QR0404X</v>
      </c>
      <c r="D120" s="1" t="s">
        <v>1458</v>
      </c>
      <c r="E120" s="1"/>
      <c r="F120" s="1" t="s">
        <v>2587</v>
      </c>
      <c r="G120" s="3" t="s">
        <v>2588</v>
      </c>
      <c r="H120" s="1" t="s">
        <v>2621</v>
      </c>
      <c r="I120" s="1"/>
      <c r="J120" s="1" t="s">
        <v>2621</v>
      </c>
      <c r="K120" s="1" t="s">
        <v>2621</v>
      </c>
      <c r="L120" s="1" t="s">
        <v>2621</v>
      </c>
      <c r="M120" s="1" t="s">
        <v>2621</v>
      </c>
      <c r="N120" s="1" t="s">
        <v>2659</v>
      </c>
      <c r="O120" s="1" t="s">
        <v>2621</v>
      </c>
      <c r="P120" s="9"/>
      <c r="R120" s="16">
        <f ca="1">IF(ISNUMBER(SEARCH(INDIRECT(CELL("address")),S120)),MAX($R$1:R119)+1,0)</f>
        <v>119</v>
      </c>
      <c r="S120" s="18" t="str">
        <f>Table1[[#This Row],[Portico_Specialty]]&amp;"-"&amp;Table1[[#This Row],[Code]]</f>
        <v>Clinic/Center: Rehabilitation, Cardiac Facilities-261QR0404X</v>
      </c>
      <c r="U120" s="16" t="str">
        <f ca="1">IFERROR(VLOOKUP(ROWS($U$1:U119),$R$2:$S$918,2,FALSE),"")</f>
        <v>Clinic/Center: Rehabilitation, Cardiac Facilities-261QR0404X</v>
      </c>
    </row>
    <row r="121" spans="1:21" ht="30.75" x14ac:dyDescent="0.3">
      <c r="A121" s="21" t="s">
        <v>1455</v>
      </c>
      <c r="B121" s="21" t="str">
        <f>Table1[[#This Row],[Code]]&amp;" "&amp;Table1[[#This Row],[Portico_Specialty]]</f>
        <v>261QR0401X Clinic/Center: Rehabilitation, Comprehensive Outpatient Rehabilitation Facility (CORF)</v>
      </c>
      <c r="C121" s="21" t="str">
        <f>CLEAN(Table1[[#This Row],[Code]])</f>
        <v>261QR0401X</v>
      </c>
      <c r="D121" s="1" t="s">
        <v>1456</v>
      </c>
      <c r="E121" s="1"/>
      <c r="F121" s="1" t="s">
        <v>2587</v>
      </c>
      <c r="G121" s="4" t="s">
        <v>2593</v>
      </c>
      <c r="H121" s="1" t="s">
        <v>2621</v>
      </c>
      <c r="I121" s="1"/>
      <c r="J121" s="1" t="s">
        <v>2621</v>
      </c>
      <c r="K121" s="1" t="s">
        <v>2621</v>
      </c>
      <c r="L121" s="1" t="s">
        <v>2621</v>
      </c>
      <c r="M121" s="1" t="s">
        <v>2621</v>
      </c>
      <c r="N121" s="1" t="s">
        <v>2621</v>
      </c>
      <c r="O121" s="1" t="s">
        <v>2621</v>
      </c>
      <c r="P121" s="9"/>
      <c r="R121" s="16">
        <f ca="1">IF(ISNUMBER(SEARCH(INDIRECT(CELL("address")),S121)),MAX($R$1:R120)+1,0)</f>
        <v>120</v>
      </c>
      <c r="S121" s="18" t="str">
        <f>Table1[[#This Row],[Portico_Specialty]]&amp;"-"&amp;Table1[[#This Row],[Code]]</f>
        <v>Clinic/Center: Rehabilitation, Comprehensive Outpatient Rehabilitation Facility (CORF)-261QR0401X</v>
      </c>
      <c r="U121" s="16" t="str">
        <f ca="1">IFERROR(VLOOKUP(ROWS($U$1:U120),$R$2:$S$918,2,FALSE),"")</f>
        <v>Clinic/Center: Rehabilitation, Comprehensive Outpatient Rehabilitation Facility (CORF)-261QR0401X</v>
      </c>
    </row>
    <row r="122" spans="1:21" ht="30.75" x14ac:dyDescent="0.3">
      <c r="A122" s="21" t="s">
        <v>1459</v>
      </c>
      <c r="B122" s="21" t="str">
        <f>Table1[[#This Row],[Code]]&amp;" "&amp;Table1[[#This Row],[Portico_Specialty]]</f>
        <v>261QR0405X Clinic/Center: Rehabilitation, Substance Use Disorder</v>
      </c>
      <c r="C122" s="21" t="str">
        <f>CLEAN(Table1[[#This Row],[Code]])</f>
        <v>261QR0405X</v>
      </c>
      <c r="D122" s="1" t="s">
        <v>1460</v>
      </c>
      <c r="E122" s="1" t="s">
        <v>2647</v>
      </c>
      <c r="F122" s="1" t="s">
        <v>2607</v>
      </c>
      <c r="G122" s="3" t="s">
        <v>2588</v>
      </c>
      <c r="H122" s="1" t="s">
        <v>2621</v>
      </c>
      <c r="I122" s="1"/>
      <c r="J122" s="1" t="s">
        <v>2660</v>
      </c>
      <c r="K122" s="1" t="s">
        <v>2621</v>
      </c>
      <c r="L122" s="1" t="s">
        <v>2622</v>
      </c>
      <c r="M122" s="1" t="s">
        <v>2661</v>
      </c>
      <c r="N122" s="1" t="s">
        <v>2621</v>
      </c>
      <c r="O122" s="1" t="s">
        <v>2621</v>
      </c>
      <c r="P122" s="9"/>
      <c r="R122" s="16">
        <f ca="1">IF(ISNUMBER(SEARCH(INDIRECT(CELL("address")),S122)),MAX($R$1:R121)+1,0)</f>
        <v>121</v>
      </c>
      <c r="S122" s="18" t="str">
        <f>Table1[[#This Row],[Portico_Specialty]]&amp;"-"&amp;Table1[[#This Row],[Code]]</f>
        <v>Clinic/Center: Rehabilitation, Substance Use Disorder-261QR0405X</v>
      </c>
      <c r="U122" s="16" t="str">
        <f ca="1">IFERROR(VLOOKUP(ROWS($U$1:U121),$R$2:$S$918,2,FALSE),"")</f>
        <v>Clinic/Center: Rehabilitation, Substance Use Disorder-261QR0405X</v>
      </c>
    </row>
    <row r="123" spans="1:21" x14ac:dyDescent="0.3">
      <c r="A123" s="21" t="s">
        <v>1463</v>
      </c>
      <c r="B123" s="21" t="str">
        <f>Table1[[#This Row],[Code]]&amp;" "&amp;Table1[[#This Row],[Portico_Specialty]]</f>
        <v>261QR1100X Clinic/Center: Research</v>
      </c>
      <c r="C123" s="21" t="str">
        <f>CLEAN(Table1[[#This Row],[Code]])</f>
        <v>261QR1100X</v>
      </c>
      <c r="D123" s="1" t="s">
        <v>1464</v>
      </c>
      <c r="E123" s="1"/>
      <c r="F123" s="1" t="s">
        <v>2587</v>
      </c>
      <c r="G123" s="3" t="s">
        <v>2588</v>
      </c>
      <c r="H123" s="1" t="s">
        <v>2621</v>
      </c>
      <c r="I123" s="1"/>
      <c r="J123" s="1" t="s">
        <v>2621</v>
      </c>
      <c r="K123" s="1" t="s">
        <v>2621</v>
      </c>
      <c r="L123" s="1" t="s">
        <v>2621</v>
      </c>
      <c r="M123" s="1" t="s">
        <v>2621</v>
      </c>
      <c r="N123" s="1" t="s">
        <v>2621</v>
      </c>
      <c r="O123" s="1" t="s">
        <v>2621</v>
      </c>
      <c r="P123" s="9"/>
      <c r="R123" s="16">
        <f ca="1">IF(ISNUMBER(SEARCH(INDIRECT(CELL("address")),S123)),MAX($R$1:R122)+1,0)</f>
        <v>122</v>
      </c>
      <c r="S123" s="18" t="str">
        <f>Table1[[#This Row],[Portico_Specialty]]&amp;"-"&amp;Table1[[#This Row],[Code]]</f>
        <v>Clinic/Center: Research-261QR1100X</v>
      </c>
      <c r="U123" s="16" t="str">
        <f ca="1">IFERROR(VLOOKUP(ROWS($U$1:U122),$R$2:$S$918,2,FALSE),"")</f>
        <v>Clinic/Center: Research-261QR1100X</v>
      </c>
    </row>
    <row r="124" spans="1:21" x14ac:dyDescent="0.3">
      <c r="A124" s="21" t="s">
        <v>1465</v>
      </c>
      <c r="B124" s="21" t="str">
        <f>Table1[[#This Row],[Code]]&amp;" "&amp;Table1[[#This Row],[Portico_Specialty]]</f>
        <v>261QR1300X Clinic/Center: Rural Health</v>
      </c>
      <c r="C124" s="21" t="str">
        <f>CLEAN(Table1[[#This Row],[Code]])</f>
        <v>261QR1300X</v>
      </c>
      <c r="D124" s="1" t="s">
        <v>1466</v>
      </c>
      <c r="E124" s="1"/>
      <c r="F124" s="4" t="s">
        <v>2619</v>
      </c>
      <c r="G124" s="4" t="s">
        <v>2593</v>
      </c>
      <c r="H124" s="1" t="s">
        <v>2621</v>
      </c>
      <c r="I124" s="1"/>
      <c r="J124" s="1" t="s">
        <v>2662</v>
      </c>
      <c r="K124" s="1" t="s">
        <v>2662</v>
      </c>
      <c r="L124" s="1" t="s">
        <v>2621</v>
      </c>
      <c r="M124" s="1" t="s">
        <v>2621</v>
      </c>
      <c r="N124" s="1" t="s">
        <v>2621</v>
      </c>
      <c r="O124" s="1" t="s">
        <v>2662</v>
      </c>
      <c r="P124" s="9"/>
      <c r="R124" s="16">
        <f ca="1">IF(ISNUMBER(SEARCH(INDIRECT(CELL("address")),S124)),MAX($R$1:R123)+1,0)</f>
        <v>123</v>
      </c>
      <c r="S124" s="18" t="str">
        <f>Table1[[#This Row],[Portico_Specialty]]&amp;"-"&amp;Table1[[#This Row],[Code]]</f>
        <v>Clinic/Center: Rural Health-261QR1300X</v>
      </c>
      <c r="U124" s="16" t="str">
        <f ca="1">IFERROR(VLOOKUP(ROWS($U$1:U123),$R$2:$S$918,2,FALSE),"")</f>
        <v>Clinic/Center: Rural Health-261QR1300X</v>
      </c>
    </row>
    <row r="125" spans="1:21" x14ac:dyDescent="0.3">
      <c r="A125" s="21" t="s">
        <v>1473</v>
      </c>
      <c r="B125" s="21" t="str">
        <f>Table1[[#This Row],[Code]]&amp;" "&amp;Table1[[#This Row],[Portico_Specialty]]</f>
        <v>261QS1200X Clinic/Center: Sleep Disorder Diagnostic</v>
      </c>
      <c r="C125" s="21" t="str">
        <f>CLEAN(Table1[[#This Row],[Code]])</f>
        <v>261QS1200X</v>
      </c>
      <c r="D125" s="1" t="s">
        <v>1474</v>
      </c>
      <c r="E125" s="1"/>
      <c r="F125" s="1" t="s">
        <v>2587</v>
      </c>
      <c r="G125" s="3" t="s">
        <v>2588</v>
      </c>
      <c r="H125" s="1" t="s">
        <v>2621</v>
      </c>
      <c r="I125" s="1"/>
      <c r="J125" s="1" t="s">
        <v>2621</v>
      </c>
      <c r="K125" s="1" t="s">
        <v>2621</v>
      </c>
      <c r="L125" s="1" t="s">
        <v>2621</v>
      </c>
      <c r="M125" s="1" t="s">
        <v>2621</v>
      </c>
      <c r="N125" s="1" t="s">
        <v>2621</v>
      </c>
      <c r="O125" s="1" t="s">
        <v>2621</v>
      </c>
      <c r="P125" s="9"/>
      <c r="R125" s="16">
        <f ca="1">IF(ISNUMBER(SEARCH(INDIRECT(CELL("address")),S125)),MAX($R$1:R124)+1,0)</f>
        <v>124</v>
      </c>
      <c r="S125" s="18" t="str">
        <f>Table1[[#This Row],[Portico_Specialty]]&amp;"-"&amp;Table1[[#This Row],[Code]]</f>
        <v>Clinic/Center: Sleep Disorder Diagnostic-261QS1200X</v>
      </c>
      <c r="U125" s="16" t="str">
        <f ca="1">IFERROR(VLOOKUP(ROWS($U$1:U124),$R$2:$S$918,2,FALSE),"")</f>
        <v>Clinic/Center: Sleep Disorder Diagnostic-261QS1200X</v>
      </c>
    </row>
    <row r="126" spans="1:21" x14ac:dyDescent="0.3">
      <c r="A126" s="21" t="s">
        <v>1471</v>
      </c>
      <c r="B126" s="21" t="str">
        <f>Table1[[#This Row],[Code]]&amp;" "&amp;Table1[[#This Row],[Portico_Specialty]]</f>
        <v>261QS1000X Clinic/Center: Student Health</v>
      </c>
      <c r="C126" s="21" t="str">
        <f>CLEAN(Table1[[#This Row],[Code]])</f>
        <v>261QS1000X</v>
      </c>
      <c r="D126" s="1" t="s">
        <v>1472</v>
      </c>
      <c r="E126" s="1"/>
      <c r="F126" s="1" t="s">
        <v>2587</v>
      </c>
      <c r="G126" s="3" t="s">
        <v>2588</v>
      </c>
      <c r="H126" s="1" t="s">
        <v>2621</v>
      </c>
      <c r="I126" s="1"/>
      <c r="J126" s="1" t="s">
        <v>2621</v>
      </c>
      <c r="K126" s="1" t="s">
        <v>2621</v>
      </c>
      <c r="L126" s="1" t="s">
        <v>2621</v>
      </c>
      <c r="M126" s="1" t="s">
        <v>2621</v>
      </c>
      <c r="N126" s="1" t="s">
        <v>2621</v>
      </c>
      <c r="O126" s="1" t="s">
        <v>2621</v>
      </c>
      <c r="P126" s="9"/>
      <c r="R126" s="16">
        <f ca="1">IF(ISNUMBER(SEARCH(INDIRECT(CELL("address")),S126)),MAX($R$1:R125)+1,0)</f>
        <v>125</v>
      </c>
      <c r="S126" s="18" t="str">
        <f>Table1[[#This Row],[Portico_Specialty]]&amp;"-"&amp;Table1[[#This Row],[Code]]</f>
        <v>Clinic/Center: Student Health-261QS1000X</v>
      </c>
      <c r="U126" s="16" t="str">
        <f ca="1">IFERROR(VLOOKUP(ROWS($U$1:U125),$R$2:$S$918,2,FALSE),"")</f>
        <v>Clinic/Center: Student Health-261QS1000X</v>
      </c>
    </row>
    <row r="127" spans="1:21" x14ac:dyDescent="0.3">
      <c r="A127" s="21" t="s">
        <v>1475</v>
      </c>
      <c r="B127" s="21" t="str">
        <f>Table1[[#This Row],[Code]]&amp;" "&amp;Table1[[#This Row],[Portico_Specialty]]</f>
        <v>261QU0200X Clinic/Center: Urgent Care</v>
      </c>
      <c r="C127" s="21" t="str">
        <f>CLEAN(Table1[[#This Row],[Code]])</f>
        <v>261QU0200X</v>
      </c>
      <c r="D127" s="1" t="s">
        <v>1476</v>
      </c>
      <c r="E127" s="1"/>
      <c r="F127" s="1" t="s">
        <v>2587</v>
      </c>
      <c r="G127" s="3" t="s">
        <v>2588</v>
      </c>
      <c r="H127" s="1" t="s">
        <v>2663</v>
      </c>
      <c r="I127" s="1"/>
      <c r="J127" s="1" t="s">
        <v>2663</v>
      </c>
      <c r="K127" s="1" t="s">
        <v>2621</v>
      </c>
      <c r="L127" s="1" t="s">
        <v>2621</v>
      </c>
      <c r="M127" s="1" t="s">
        <v>2663</v>
      </c>
      <c r="N127" s="1" t="s">
        <v>2621</v>
      </c>
      <c r="O127" s="1" t="s">
        <v>2621</v>
      </c>
      <c r="P127" s="9"/>
      <c r="R127" s="16">
        <f ca="1">IF(ISNUMBER(SEARCH(INDIRECT(CELL("address")),S127)),MAX($R$1:R126)+1,0)</f>
        <v>126</v>
      </c>
      <c r="S127" s="18" t="str">
        <f>Table1[[#This Row],[Portico_Specialty]]&amp;"-"&amp;Table1[[#This Row],[Code]]</f>
        <v>Clinic/Center: Urgent Care-261QU0200X</v>
      </c>
      <c r="U127" s="16" t="str">
        <f ca="1">IFERROR(VLOOKUP(ROWS($U$1:U126),$R$2:$S$918,2,FALSE),"")</f>
        <v>Clinic/Center: Urgent Care-261QU0200X</v>
      </c>
    </row>
    <row r="128" spans="1:21" x14ac:dyDescent="0.3">
      <c r="A128" s="21" t="s">
        <v>1477</v>
      </c>
      <c r="B128" s="21" t="str">
        <f>Table1[[#This Row],[Code]]&amp;" "&amp;Table1[[#This Row],[Portico_Specialty]]</f>
        <v>261QV0200X Clinic/Center: VA</v>
      </c>
      <c r="C128" s="21" t="str">
        <f>CLEAN(Table1[[#This Row],[Code]])</f>
        <v>261QV0200X</v>
      </c>
      <c r="D128" s="1" t="s">
        <v>1478</v>
      </c>
      <c r="E128" s="1"/>
      <c r="F128" s="1" t="s">
        <v>2587</v>
      </c>
      <c r="G128" s="3" t="s">
        <v>2588</v>
      </c>
      <c r="H128" s="1" t="s">
        <v>2621</v>
      </c>
      <c r="I128" s="1"/>
      <c r="J128" s="1" t="s">
        <v>2621</v>
      </c>
      <c r="K128" s="1" t="s">
        <v>2621</v>
      </c>
      <c r="L128" s="1" t="s">
        <v>2621</v>
      </c>
      <c r="M128" s="1" t="s">
        <v>2621</v>
      </c>
      <c r="N128" s="1" t="s">
        <v>2621</v>
      </c>
      <c r="O128" s="1" t="s">
        <v>2621</v>
      </c>
      <c r="P128" s="9"/>
      <c r="R128" s="16">
        <f ca="1">IF(ISNUMBER(SEARCH(INDIRECT(CELL("address")),S128)),MAX($R$1:R127)+1,0)</f>
        <v>127</v>
      </c>
      <c r="S128" s="18" t="str">
        <f>Table1[[#This Row],[Portico_Specialty]]&amp;"-"&amp;Table1[[#This Row],[Code]]</f>
        <v>Clinic/Center: VA-261QV0200X</v>
      </c>
      <c r="U128" s="16" t="str">
        <f ca="1">IFERROR(VLOOKUP(ROWS($U$1:U127),$R$2:$S$918,2,FALSE),"")</f>
        <v>Clinic/Center: VA-261QV0200X</v>
      </c>
    </row>
    <row r="129" spans="1:21" x14ac:dyDescent="0.3">
      <c r="A129" s="21" t="s">
        <v>2616</v>
      </c>
      <c r="B129" s="21" t="str">
        <f>Table1[[#This Row],[Code]]&amp;" "&amp;Table1[[#This Row],[Portico_Specialty]]</f>
        <v>AltSpec1 Clinical Counselor - HCBS</v>
      </c>
      <c r="C129" s="21" t="str">
        <f>CLEAN(Table1[[#This Row],[Code]])</f>
        <v>AltSpec1</v>
      </c>
      <c r="D129" s="1" t="s">
        <v>2664</v>
      </c>
      <c r="E129" s="1"/>
      <c r="F129" s="1" t="s">
        <v>2587</v>
      </c>
      <c r="G129" s="3" t="s">
        <v>2588</v>
      </c>
      <c r="H129" s="1"/>
      <c r="I129" s="1"/>
      <c r="J129" s="1"/>
      <c r="K129" s="1" t="s">
        <v>2665</v>
      </c>
      <c r="L129" s="1"/>
      <c r="M129" s="1"/>
      <c r="N129" s="1"/>
      <c r="O129" s="1"/>
      <c r="P129" s="9"/>
      <c r="R129" s="16">
        <f ca="1">IF(ISNUMBER(SEARCH(INDIRECT(CELL("address")),S129)),MAX($R$1:R128)+1,0)</f>
        <v>128</v>
      </c>
      <c r="S129" s="18" t="str">
        <f>Table1[[#This Row],[Portico_Specialty]]&amp;"-"&amp;Table1[[#This Row],[Code]]</f>
        <v>Clinical Counselor - HCBS-AltSpec1</v>
      </c>
      <c r="U129" s="16" t="str">
        <f ca="1">IFERROR(VLOOKUP(ROWS($U$1:U128),$R$2:$S$918,2,FALSE),"")</f>
        <v>Clinical Counselor - HCBS-AltSpec1</v>
      </c>
    </row>
    <row r="130" spans="1:21" x14ac:dyDescent="0.3">
      <c r="A130" s="21" t="s">
        <v>497</v>
      </c>
      <c r="B130" s="21" t="str">
        <f>Table1[[#This Row],[Code]]&amp;" "&amp;Table1[[#This Row],[Portico_Specialty]]</f>
        <v>174V00000X Clinical Ethicist</v>
      </c>
      <c r="C130" s="21" t="str">
        <f>CLEAN(Table1[[#This Row],[Code]])</f>
        <v>174V00000X</v>
      </c>
      <c r="D130" s="1" t="s">
        <v>498</v>
      </c>
      <c r="E130" s="1"/>
      <c r="F130" s="1" t="s">
        <v>2587</v>
      </c>
      <c r="G130" s="3" t="s">
        <v>2588</v>
      </c>
      <c r="H130" s="1" t="s">
        <v>2615</v>
      </c>
      <c r="I130" s="1"/>
      <c r="J130" s="1" t="s">
        <v>2590</v>
      </c>
      <c r="K130" s="1" t="s">
        <v>2590</v>
      </c>
      <c r="L130" s="1"/>
      <c r="M130" s="1"/>
      <c r="N130" s="1"/>
      <c r="O130" s="1" t="s">
        <v>2590</v>
      </c>
      <c r="P130" s="9"/>
      <c r="R130" s="16">
        <f ca="1">IF(ISNUMBER(SEARCH(INDIRECT(CELL("address")),S130)),MAX($R$1:R129)+1,0)</f>
        <v>129</v>
      </c>
      <c r="S130" s="18" t="str">
        <f>Table1[[#This Row],[Portico_Specialty]]&amp;"-"&amp;Table1[[#This Row],[Code]]</f>
        <v>Clinical Ethicist-174V00000X</v>
      </c>
      <c r="U130" s="16" t="str">
        <f ca="1">IFERROR(VLOOKUP(ROWS($U$1:U129),$R$2:$S$918,2,FALSE),"")</f>
        <v>Clinical Ethicist-174V00000X</v>
      </c>
    </row>
    <row r="131" spans="1:21" x14ac:dyDescent="0.3">
      <c r="A131" s="21" t="s">
        <v>1027</v>
      </c>
      <c r="B131" s="21" t="str">
        <f>Table1[[#This Row],[Code]]&amp;" "&amp;Table1[[#This Row],[Portico_Specialty]]</f>
        <v>224Y00000X Clinical Exercise Physiologist</v>
      </c>
      <c r="C131" s="21" t="str">
        <f>CLEAN(Table1[[#This Row],[Code]])</f>
        <v>224Y00000X</v>
      </c>
      <c r="D131" s="1" t="s">
        <v>1028</v>
      </c>
      <c r="E131" s="1"/>
      <c r="F131" s="1" t="s">
        <v>2587</v>
      </c>
      <c r="G131" s="3" t="s">
        <v>2588</v>
      </c>
      <c r="H131" s="1"/>
      <c r="I131" s="1"/>
      <c r="J131" s="1" t="s">
        <v>2590</v>
      </c>
      <c r="K131" s="1" t="s">
        <v>2666</v>
      </c>
      <c r="L131" s="1"/>
      <c r="M131" s="1"/>
      <c r="N131" s="1"/>
      <c r="O131" s="1" t="s">
        <v>2666</v>
      </c>
      <c r="P131" s="9"/>
      <c r="R131" s="16">
        <f ca="1">IF(ISNUMBER(SEARCH(INDIRECT(CELL("address")),S131)),MAX($R$1:R130)+1,0)</f>
        <v>130</v>
      </c>
      <c r="S131" s="18" t="str">
        <f>Table1[[#This Row],[Portico_Specialty]]&amp;"-"&amp;Table1[[#This Row],[Code]]</f>
        <v>Clinical Exercise Physiologist-224Y00000X</v>
      </c>
      <c r="U131" s="16" t="str">
        <f ca="1">IFERROR(VLOOKUP(ROWS($U$1:U130),$R$2:$S$918,2,FALSE),"")</f>
        <v>Clinical Exercise Physiologist-224Y00000X</v>
      </c>
    </row>
    <row r="132" spans="1:21" x14ac:dyDescent="0.3">
      <c r="A132" s="21" t="s">
        <v>1533</v>
      </c>
      <c r="B132" s="21" t="str">
        <f>Table1[[#This Row],[Code]]&amp;" "&amp;Table1[[#This Row],[Portico_Specialty]]</f>
        <v>291U00000X Clinical Medical Laboratory</v>
      </c>
      <c r="C132" s="21" t="str">
        <f>CLEAN(Table1[[#This Row],[Code]])</f>
        <v>291U00000X</v>
      </c>
      <c r="D132" s="1" t="s">
        <v>1534</v>
      </c>
      <c r="E132" s="1"/>
      <c r="F132" s="1" t="s">
        <v>2587</v>
      </c>
      <c r="G132" s="4" t="s">
        <v>2593</v>
      </c>
      <c r="H132" s="1" t="s">
        <v>2667</v>
      </c>
      <c r="I132" s="1"/>
      <c r="J132" s="1" t="s">
        <v>2667</v>
      </c>
      <c r="K132" s="1" t="s">
        <v>2667</v>
      </c>
      <c r="L132" s="1" t="s">
        <v>2667</v>
      </c>
      <c r="M132" s="1" t="s">
        <v>2667</v>
      </c>
      <c r="N132" s="1" t="s">
        <v>2667</v>
      </c>
      <c r="O132" s="1" t="s">
        <v>2667</v>
      </c>
      <c r="P132" s="9"/>
      <c r="R132" s="16">
        <f ca="1">IF(ISNUMBER(SEARCH(INDIRECT(CELL("address")),S132)),MAX($R$1:R131)+1,0)</f>
        <v>131</v>
      </c>
      <c r="S132" s="18" t="str">
        <f>Table1[[#This Row],[Portico_Specialty]]&amp;"-"&amp;Table1[[#This Row],[Code]]</f>
        <v>Clinical Medical Laboratory-291U00000X</v>
      </c>
      <c r="U132" s="16" t="str">
        <f ca="1">IFERROR(VLOOKUP(ROWS($U$1:U131),$R$2:$S$918,2,FALSE),"")</f>
        <v>Clinical Medical Laboratory-291U00000X</v>
      </c>
    </row>
    <row r="133" spans="1:21" x14ac:dyDescent="0.3">
      <c r="A133" s="21" t="s">
        <v>138</v>
      </c>
      <c r="B133" s="21" t="str">
        <f>Table1[[#This Row],[Code]]&amp;" "&amp;Table1[[#This Row],[Portico_Specialty]]</f>
        <v>103G00000X Clinical Neuropsychologist</v>
      </c>
      <c r="C133" s="21" t="str">
        <f>CLEAN(Table1[[#This Row],[Code]])</f>
        <v>103G00000X</v>
      </c>
      <c r="D133" s="1" t="s">
        <v>139</v>
      </c>
      <c r="E133" s="1"/>
      <c r="F133" s="1" t="s">
        <v>2607</v>
      </c>
      <c r="G133" s="3" t="s">
        <v>2588</v>
      </c>
      <c r="H133" s="1" t="s">
        <v>2668</v>
      </c>
      <c r="I133" s="1"/>
      <c r="J133" s="1" t="s">
        <v>2668</v>
      </c>
      <c r="K133" s="1" t="s">
        <v>2668</v>
      </c>
      <c r="L133" s="1" t="s">
        <v>2668</v>
      </c>
      <c r="M133" s="1" t="s">
        <v>2669</v>
      </c>
      <c r="N133" s="1" t="s">
        <v>2668</v>
      </c>
      <c r="O133" s="1" t="s">
        <v>2668</v>
      </c>
      <c r="P133" s="9"/>
      <c r="R133" s="16">
        <f ca="1">IF(ISNUMBER(SEARCH(INDIRECT(CELL("address")),S133)),MAX($R$1:R132)+1,0)</f>
        <v>132</v>
      </c>
      <c r="S133" s="18" t="str">
        <f>Table1[[#This Row],[Portico_Specialty]]&amp;"-"&amp;Table1[[#This Row],[Code]]</f>
        <v>Clinical Neuropsychologist-103G00000X</v>
      </c>
      <c r="U133" s="16" t="str">
        <f ca="1">IFERROR(VLOOKUP(ROWS($U$1:U132),$R$2:$S$918,2,FALSE),"")</f>
        <v>Clinical Neuropsychologist-103G00000X</v>
      </c>
    </row>
    <row r="134" spans="1:21" x14ac:dyDescent="0.3">
      <c r="A134" s="21" t="s">
        <v>140</v>
      </c>
      <c r="B134" s="21" t="str">
        <f>Table1[[#This Row],[Code]]&amp;" "&amp;Table1[[#This Row],[Portico_Specialty]]</f>
        <v>103GC0700X Clinical Neuropsychologist: Clinical</v>
      </c>
      <c r="C134" s="21" t="str">
        <f>CLEAN(Table1[[#This Row],[Code]])</f>
        <v>103GC0700X</v>
      </c>
      <c r="D134" s="1" t="s">
        <v>141</v>
      </c>
      <c r="E134" s="1"/>
      <c r="F134" s="1" t="s">
        <v>2607</v>
      </c>
      <c r="G134" s="3" t="s">
        <v>2588</v>
      </c>
      <c r="H134" s="1" t="s">
        <v>2670</v>
      </c>
      <c r="I134" s="1"/>
      <c r="J134" s="1" t="s">
        <v>2668</v>
      </c>
      <c r="K134" s="1" t="s">
        <v>2668</v>
      </c>
      <c r="L134" s="1" t="s">
        <v>2668</v>
      </c>
      <c r="M134" s="1" t="s">
        <v>2668</v>
      </c>
      <c r="N134" s="1" t="s">
        <v>2668</v>
      </c>
      <c r="O134" s="1" t="s">
        <v>2668</v>
      </c>
      <c r="P134" s="9"/>
      <c r="R134" s="16">
        <f ca="1">IF(ISNUMBER(SEARCH(INDIRECT(CELL("address")),S134)),MAX($R$1:R133)+1,0)</f>
        <v>133</v>
      </c>
      <c r="S134" s="18" t="str">
        <f>Table1[[#This Row],[Portico_Specialty]]&amp;"-"&amp;Table1[[#This Row],[Code]]</f>
        <v>Clinical Neuropsychologist: Clinical-103GC0700X</v>
      </c>
      <c r="U134" s="16" t="str">
        <f ca="1">IFERROR(VLOOKUP(ROWS($U$1:U133),$R$2:$S$918,2,FALSE),"")</f>
        <v>Clinical Neuropsychologist: Clinical-103GC0700X</v>
      </c>
    </row>
    <row r="135" spans="1:21" x14ac:dyDescent="0.3">
      <c r="A135" s="21" t="s">
        <v>1727</v>
      </c>
      <c r="B135" s="21" t="str">
        <f>Table1[[#This Row],[Code]]&amp;" "&amp;Table1[[#This Row],[Portico_Specialty]]</f>
        <v>364S00000X Clinical Nurse Specialist</v>
      </c>
      <c r="C135" s="21" t="str">
        <f>CLEAN(Table1[[#This Row],[Code]])</f>
        <v>364S00000X</v>
      </c>
      <c r="D135" s="1" t="s">
        <v>1728</v>
      </c>
      <c r="E135" s="1"/>
      <c r="F135" s="4" t="s">
        <v>2619</v>
      </c>
      <c r="G135" s="4" t="s">
        <v>2593</v>
      </c>
      <c r="H135" s="1" t="s">
        <v>2671</v>
      </c>
      <c r="I135" s="1"/>
      <c r="J135" s="1" t="s">
        <v>2671</v>
      </c>
      <c r="K135" s="1" t="s">
        <v>2671</v>
      </c>
      <c r="L135" s="1" t="s">
        <v>2671</v>
      </c>
      <c r="M135" s="1" t="s">
        <v>2671</v>
      </c>
      <c r="N135" s="1" t="s">
        <v>2671</v>
      </c>
      <c r="O135" s="1" t="s">
        <v>2671</v>
      </c>
      <c r="P135" s="9"/>
      <c r="R135" s="16">
        <f ca="1">IF(ISNUMBER(SEARCH(INDIRECT(CELL("address")),S135)),MAX($R$1:R134)+1,0)</f>
        <v>134</v>
      </c>
      <c r="S135" s="18" t="str">
        <f>Table1[[#This Row],[Portico_Specialty]]&amp;"-"&amp;Table1[[#This Row],[Code]]</f>
        <v>Clinical Nurse Specialist-364S00000X</v>
      </c>
      <c r="U135" s="16" t="str">
        <f ca="1">IFERROR(VLOOKUP(ROWS($U$1:U134),$R$2:$S$918,2,FALSE),"")</f>
        <v>Clinical Nurse Specialist-364S00000X</v>
      </c>
    </row>
    <row r="136" spans="1:21" x14ac:dyDescent="0.3">
      <c r="A136" s="21" t="s">
        <v>1729</v>
      </c>
      <c r="B136" s="21" t="str">
        <f>Table1[[#This Row],[Code]]&amp;" "&amp;Table1[[#This Row],[Portico_Specialty]]</f>
        <v>364SA2100X Clinical Nurse Specialist: Acute Care</v>
      </c>
      <c r="C136" s="21" t="str">
        <f>CLEAN(Table1[[#This Row],[Code]])</f>
        <v>364SA2100X</v>
      </c>
      <c r="D136" s="1" t="s">
        <v>1730</v>
      </c>
      <c r="E136" s="1"/>
      <c r="F136" s="1" t="s">
        <v>2587</v>
      </c>
      <c r="G136" s="4" t="s">
        <v>2593</v>
      </c>
      <c r="H136" s="1" t="s">
        <v>2671</v>
      </c>
      <c r="I136" s="1"/>
      <c r="J136" s="1" t="s">
        <v>2671</v>
      </c>
      <c r="K136" s="1" t="s">
        <v>2671</v>
      </c>
      <c r="L136" s="1" t="s">
        <v>2671</v>
      </c>
      <c r="M136" s="1" t="s">
        <v>2671</v>
      </c>
      <c r="N136" s="1" t="s">
        <v>2671</v>
      </c>
      <c r="O136" s="1" t="s">
        <v>2671</v>
      </c>
      <c r="P136" s="9"/>
      <c r="R136" s="16">
        <f ca="1">IF(ISNUMBER(SEARCH(INDIRECT(CELL("address")),S136)),MAX($R$1:R135)+1,0)</f>
        <v>135</v>
      </c>
      <c r="S136" s="18" t="str">
        <f>Table1[[#This Row],[Portico_Specialty]]&amp;"-"&amp;Table1[[#This Row],[Code]]</f>
        <v>Clinical Nurse Specialist: Acute Care-364SA2100X</v>
      </c>
      <c r="U136" s="16" t="str">
        <f ca="1">IFERROR(VLOOKUP(ROWS($U$1:U135),$R$2:$S$918,2,FALSE),"")</f>
        <v>Clinical Nurse Specialist: Acute Care-364SA2100X</v>
      </c>
    </row>
    <row r="137" spans="1:21" x14ac:dyDescent="0.3">
      <c r="A137" s="21" t="s">
        <v>1731</v>
      </c>
      <c r="B137" s="21" t="str">
        <f>Table1[[#This Row],[Code]]&amp;" "&amp;Table1[[#This Row],[Portico_Specialty]]</f>
        <v>364SA2200X Clinical Nurse Specialist: Adult Health</v>
      </c>
      <c r="C137" s="21" t="str">
        <f>CLEAN(Table1[[#This Row],[Code]])</f>
        <v>364SA2200X</v>
      </c>
      <c r="D137" s="1" t="s">
        <v>1732</v>
      </c>
      <c r="E137" s="1"/>
      <c r="F137" s="1" t="s">
        <v>2587</v>
      </c>
      <c r="G137" s="4" t="s">
        <v>2593</v>
      </c>
      <c r="H137" s="1" t="s">
        <v>2671</v>
      </c>
      <c r="I137" s="1"/>
      <c r="J137" s="1" t="s">
        <v>2671</v>
      </c>
      <c r="K137" s="1" t="s">
        <v>2671</v>
      </c>
      <c r="L137" s="1" t="s">
        <v>2671</v>
      </c>
      <c r="M137" s="1" t="s">
        <v>2671</v>
      </c>
      <c r="N137" s="1" t="s">
        <v>2671</v>
      </c>
      <c r="O137" s="1" t="s">
        <v>2671</v>
      </c>
      <c r="P137" s="9"/>
      <c r="R137" s="16">
        <f ca="1">IF(ISNUMBER(SEARCH(INDIRECT(CELL("address")),S137)),MAX($R$1:R136)+1,0)</f>
        <v>136</v>
      </c>
      <c r="S137" s="18" t="str">
        <f>Table1[[#This Row],[Portico_Specialty]]&amp;"-"&amp;Table1[[#This Row],[Code]]</f>
        <v>Clinical Nurse Specialist: Adult Health-364SA2200X</v>
      </c>
      <c r="U137" s="16" t="str">
        <f ca="1">IFERROR(VLOOKUP(ROWS($U$1:U136),$R$2:$S$918,2,FALSE),"")</f>
        <v>Clinical Nurse Specialist: Adult Health-364SA2200X</v>
      </c>
    </row>
    <row r="138" spans="1:21" x14ac:dyDescent="0.3">
      <c r="A138" s="21" t="s">
        <v>1737</v>
      </c>
      <c r="B138" s="21" t="str">
        <f>Table1[[#This Row],[Code]]&amp;" "&amp;Table1[[#This Row],[Portico_Specialty]]</f>
        <v>364SC2300X Clinical Nurse Specialist: Chronic Care</v>
      </c>
      <c r="C138" s="21" t="str">
        <f>CLEAN(Table1[[#This Row],[Code]])</f>
        <v>364SC2300X</v>
      </c>
      <c r="D138" s="1" t="s">
        <v>1738</v>
      </c>
      <c r="E138" s="1"/>
      <c r="F138" s="1" t="s">
        <v>2587</v>
      </c>
      <c r="G138" s="4" t="s">
        <v>2593</v>
      </c>
      <c r="H138" s="1" t="s">
        <v>2671</v>
      </c>
      <c r="I138" s="1"/>
      <c r="J138" s="1" t="s">
        <v>2671</v>
      </c>
      <c r="K138" s="1" t="s">
        <v>2671</v>
      </c>
      <c r="L138" s="1" t="s">
        <v>2671</v>
      </c>
      <c r="M138" s="1" t="s">
        <v>2671</v>
      </c>
      <c r="N138" s="1" t="s">
        <v>2671</v>
      </c>
      <c r="O138" s="1" t="s">
        <v>2671</v>
      </c>
      <c r="P138" s="9"/>
      <c r="R138" s="16">
        <f ca="1">IF(ISNUMBER(SEARCH(INDIRECT(CELL("address")),S138)),MAX($R$1:R137)+1,0)</f>
        <v>137</v>
      </c>
      <c r="S138" s="18" t="str">
        <f>Table1[[#This Row],[Portico_Specialty]]&amp;"-"&amp;Table1[[#This Row],[Code]]</f>
        <v>Clinical Nurse Specialist: Chronic Care-364SC2300X</v>
      </c>
      <c r="U138" s="16" t="str">
        <f ca="1">IFERROR(VLOOKUP(ROWS($U$1:U137),$R$2:$S$918,2,FALSE),"")</f>
        <v>Clinical Nurse Specialist: Chronic Care-364SC2300X</v>
      </c>
    </row>
    <row r="139" spans="1:21" ht="30.75" x14ac:dyDescent="0.3">
      <c r="A139" s="21" t="s">
        <v>1735</v>
      </c>
      <c r="B139" s="21" t="str">
        <f>Table1[[#This Row],[Code]]&amp;" "&amp;Table1[[#This Row],[Portico_Specialty]]</f>
        <v>364SC1501X Clinical Nurse Specialist: Community Health/Public Health</v>
      </c>
      <c r="C139" s="21" t="str">
        <f>CLEAN(Table1[[#This Row],[Code]])</f>
        <v>364SC1501X</v>
      </c>
      <c r="D139" s="1" t="s">
        <v>1736</v>
      </c>
      <c r="E139" s="1"/>
      <c r="F139" s="4" t="s">
        <v>2619</v>
      </c>
      <c r="G139" s="4" t="s">
        <v>2593</v>
      </c>
      <c r="H139" s="1" t="s">
        <v>2671</v>
      </c>
      <c r="I139" s="1"/>
      <c r="J139" s="1" t="s">
        <v>2671</v>
      </c>
      <c r="K139" s="1" t="s">
        <v>2671</v>
      </c>
      <c r="L139" s="1" t="s">
        <v>2671</v>
      </c>
      <c r="M139" s="1" t="s">
        <v>2671</v>
      </c>
      <c r="N139" s="1" t="s">
        <v>2671</v>
      </c>
      <c r="O139" s="1" t="s">
        <v>2671</v>
      </c>
      <c r="P139" s="9"/>
      <c r="R139" s="16">
        <f ca="1">IF(ISNUMBER(SEARCH(INDIRECT(CELL("address")),S139)),MAX($R$1:R138)+1,0)</f>
        <v>138</v>
      </c>
      <c r="S139" s="18" t="str">
        <f>Table1[[#This Row],[Portico_Specialty]]&amp;"-"&amp;Table1[[#This Row],[Code]]</f>
        <v>Clinical Nurse Specialist: Community Health/Public Health-364SC1501X</v>
      </c>
      <c r="U139" s="16" t="str">
        <f ca="1">IFERROR(VLOOKUP(ROWS($U$1:U138),$R$2:$S$918,2,FALSE),"")</f>
        <v>Clinical Nurse Specialist: Community Health/Public Health-364SC1501X</v>
      </c>
    </row>
    <row r="140" spans="1:21" ht="30.75" x14ac:dyDescent="0.3">
      <c r="A140" s="21" t="s">
        <v>1733</v>
      </c>
      <c r="B140" s="21" t="str">
        <f>Table1[[#This Row],[Code]]&amp;" "&amp;Table1[[#This Row],[Portico_Specialty]]</f>
        <v>364SC0200X Clinical Nurse Specialist: Critical Care Medicine</v>
      </c>
      <c r="C140" s="21" t="str">
        <f>CLEAN(Table1[[#This Row],[Code]])</f>
        <v>364SC0200X</v>
      </c>
      <c r="D140" s="1" t="s">
        <v>1734</v>
      </c>
      <c r="E140" s="1"/>
      <c r="F140" s="1" t="s">
        <v>2587</v>
      </c>
      <c r="G140" s="4" t="s">
        <v>2593</v>
      </c>
      <c r="H140" s="1" t="s">
        <v>2671</v>
      </c>
      <c r="I140" s="1"/>
      <c r="J140" s="1" t="s">
        <v>2671</v>
      </c>
      <c r="K140" s="1" t="s">
        <v>2671</v>
      </c>
      <c r="L140" s="1" t="s">
        <v>2671</v>
      </c>
      <c r="M140" s="1" t="s">
        <v>2671</v>
      </c>
      <c r="N140" s="1" t="s">
        <v>2671</v>
      </c>
      <c r="O140" s="1" t="s">
        <v>2671</v>
      </c>
      <c r="P140" s="9"/>
      <c r="R140" s="16">
        <f ca="1">IF(ISNUMBER(SEARCH(INDIRECT(CELL("address")),S140)),MAX($R$1:R139)+1,0)</f>
        <v>139</v>
      </c>
      <c r="S140" s="18" t="str">
        <f>Table1[[#This Row],[Portico_Specialty]]&amp;"-"&amp;Table1[[#This Row],[Code]]</f>
        <v>Clinical Nurse Specialist: Critical Care Medicine-364SC0200X</v>
      </c>
      <c r="U140" s="16" t="str">
        <f ca="1">IFERROR(VLOOKUP(ROWS($U$1:U139),$R$2:$S$918,2,FALSE),"")</f>
        <v>Clinical Nurse Specialist: Critical Care Medicine-364SC0200X</v>
      </c>
    </row>
    <row r="141" spans="1:21" x14ac:dyDescent="0.3">
      <c r="A141" s="21" t="s">
        <v>1739</v>
      </c>
      <c r="B141" s="21" t="str">
        <f>Table1[[#This Row],[Code]]&amp;" "&amp;Table1[[#This Row],[Portico_Specialty]]</f>
        <v>364SE0003X Clinical Nurse Specialist: Emergency</v>
      </c>
      <c r="C141" s="21" t="str">
        <f>CLEAN(Table1[[#This Row],[Code]])</f>
        <v>364SE0003X</v>
      </c>
      <c r="D141" s="1" t="s">
        <v>1740</v>
      </c>
      <c r="E141" s="1"/>
      <c r="F141" s="1" t="s">
        <v>2587</v>
      </c>
      <c r="G141" s="4" t="s">
        <v>2593</v>
      </c>
      <c r="H141" s="1" t="s">
        <v>2671</v>
      </c>
      <c r="I141" s="1"/>
      <c r="J141" s="1" t="s">
        <v>2671</v>
      </c>
      <c r="K141" s="1" t="s">
        <v>2671</v>
      </c>
      <c r="L141" s="1" t="s">
        <v>2671</v>
      </c>
      <c r="M141" s="1" t="s">
        <v>2671</v>
      </c>
      <c r="N141" s="1" t="s">
        <v>2671</v>
      </c>
      <c r="O141" s="1" t="s">
        <v>2671</v>
      </c>
      <c r="P141" s="9"/>
      <c r="R141" s="16">
        <f ca="1">IF(ISNUMBER(SEARCH(INDIRECT(CELL("address")),S141)),MAX($R$1:R140)+1,0)</f>
        <v>140</v>
      </c>
      <c r="S141" s="18" t="str">
        <f>Table1[[#This Row],[Portico_Specialty]]&amp;"-"&amp;Table1[[#This Row],[Code]]</f>
        <v>Clinical Nurse Specialist: Emergency-364SE0003X</v>
      </c>
      <c r="U141" s="16" t="str">
        <f ca="1">IFERROR(VLOOKUP(ROWS($U$1:U140),$R$2:$S$918,2,FALSE),"")</f>
        <v>Clinical Nurse Specialist: Emergency-364SE0003X</v>
      </c>
    </row>
    <row r="142" spans="1:21" x14ac:dyDescent="0.3">
      <c r="A142" s="21" t="s">
        <v>1741</v>
      </c>
      <c r="B142" s="21" t="str">
        <f>Table1[[#This Row],[Code]]&amp;" "&amp;Table1[[#This Row],[Portico_Specialty]]</f>
        <v>364SE1400X Clinical Nurse Specialist: Ethics</v>
      </c>
      <c r="C142" s="21" t="str">
        <f>CLEAN(Table1[[#This Row],[Code]])</f>
        <v>364SE1400X</v>
      </c>
      <c r="D142" s="1" t="s">
        <v>1742</v>
      </c>
      <c r="E142" s="1"/>
      <c r="F142" s="1" t="s">
        <v>2587</v>
      </c>
      <c r="G142" s="4" t="s">
        <v>2593</v>
      </c>
      <c r="H142" s="1" t="s">
        <v>2671</v>
      </c>
      <c r="I142" s="1"/>
      <c r="J142" s="1" t="s">
        <v>2671</v>
      </c>
      <c r="K142" s="1" t="s">
        <v>2671</v>
      </c>
      <c r="L142" s="1" t="s">
        <v>2671</v>
      </c>
      <c r="M142" s="1" t="s">
        <v>2671</v>
      </c>
      <c r="N142" s="1" t="s">
        <v>2671</v>
      </c>
      <c r="O142" s="1" t="s">
        <v>2671</v>
      </c>
      <c r="P142" s="9"/>
      <c r="R142" s="16">
        <f ca="1">IF(ISNUMBER(SEARCH(INDIRECT(CELL("address")),S142)),MAX($R$1:R141)+1,0)</f>
        <v>141</v>
      </c>
      <c r="S142" s="18" t="str">
        <f>Table1[[#This Row],[Portico_Specialty]]&amp;"-"&amp;Table1[[#This Row],[Code]]</f>
        <v>Clinical Nurse Specialist: Ethics-364SE1400X</v>
      </c>
      <c r="U142" s="16" t="str">
        <f ca="1">IFERROR(VLOOKUP(ROWS($U$1:U141),$R$2:$S$918,2,FALSE),"")</f>
        <v>Clinical Nurse Specialist: Ethics-364SE1400X</v>
      </c>
    </row>
    <row r="143" spans="1:21" x14ac:dyDescent="0.3">
      <c r="A143" s="21" t="s">
        <v>1743</v>
      </c>
      <c r="B143" s="21" t="str">
        <f>Table1[[#This Row],[Code]]&amp;" "&amp;Table1[[#This Row],[Portico_Specialty]]</f>
        <v>364SF0001X Clinical Nurse Specialist: Family Health</v>
      </c>
      <c r="C143" s="21" t="str">
        <f>CLEAN(Table1[[#This Row],[Code]])</f>
        <v>364SF0001X</v>
      </c>
      <c r="D143" s="1" t="s">
        <v>1744</v>
      </c>
      <c r="E143" s="1"/>
      <c r="F143" s="1" t="s">
        <v>2587</v>
      </c>
      <c r="G143" s="4" t="s">
        <v>2593</v>
      </c>
      <c r="H143" s="1" t="s">
        <v>2671</v>
      </c>
      <c r="I143" s="1"/>
      <c r="J143" s="1" t="s">
        <v>2671</v>
      </c>
      <c r="K143" s="1" t="s">
        <v>2671</v>
      </c>
      <c r="L143" s="1" t="s">
        <v>2671</v>
      </c>
      <c r="M143" s="1" t="s">
        <v>2671</v>
      </c>
      <c r="N143" s="1" t="s">
        <v>2671</v>
      </c>
      <c r="O143" s="1" t="s">
        <v>2671</v>
      </c>
      <c r="P143" s="9"/>
      <c r="R143" s="16">
        <f ca="1">IF(ISNUMBER(SEARCH(INDIRECT(CELL("address")),S143)),MAX($R$1:R142)+1,0)</f>
        <v>142</v>
      </c>
      <c r="S143" s="18" t="str">
        <f>Table1[[#This Row],[Portico_Specialty]]&amp;"-"&amp;Table1[[#This Row],[Code]]</f>
        <v>Clinical Nurse Specialist: Family Health-364SF0001X</v>
      </c>
      <c r="U143" s="16" t="str">
        <f ca="1">IFERROR(VLOOKUP(ROWS($U$1:U142),$R$2:$S$918,2,FALSE),"")</f>
        <v>Clinical Nurse Specialist: Family Health-364SF0001X</v>
      </c>
    </row>
    <row r="144" spans="1:21" x14ac:dyDescent="0.3">
      <c r="A144" s="21" t="s">
        <v>1745</v>
      </c>
      <c r="B144" s="21" t="str">
        <f>Table1[[#This Row],[Code]]&amp;" "&amp;Table1[[#This Row],[Portico_Specialty]]</f>
        <v>364SG0600X Clinical Nurse Specialist: Gerontology</v>
      </c>
      <c r="C144" s="21" t="str">
        <f>CLEAN(Table1[[#This Row],[Code]])</f>
        <v>364SG0600X</v>
      </c>
      <c r="D144" s="1" t="s">
        <v>1746</v>
      </c>
      <c r="E144" s="1"/>
      <c r="F144" s="1" t="s">
        <v>2587</v>
      </c>
      <c r="G144" s="4" t="s">
        <v>2593</v>
      </c>
      <c r="H144" s="1" t="s">
        <v>2671</v>
      </c>
      <c r="I144" s="1"/>
      <c r="J144" s="1" t="s">
        <v>2671</v>
      </c>
      <c r="K144" s="1" t="s">
        <v>2671</v>
      </c>
      <c r="L144" s="1" t="s">
        <v>2671</v>
      </c>
      <c r="M144" s="1" t="s">
        <v>2671</v>
      </c>
      <c r="N144" s="1" t="s">
        <v>2671</v>
      </c>
      <c r="O144" s="1" t="s">
        <v>2671</v>
      </c>
      <c r="P144" s="9"/>
      <c r="R144" s="16">
        <f ca="1">IF(ISNUMBER(SEARCH(INDIRECT(CELL("address")),S144)),MAX($R$1:R143)+1,0)</f>
        <v>143</v>
      </c>
      <c r="S144" s="18" t="str">
        <f>Table1[[#This Row],[Portico_Specialty]]&amp;"-"&amp;Table1[[#This Row],[Code]]</f>
        <v>Clinical Nurse Specialist: Gerontology-364SG0600X</v>
      </c>
      <c r="U144" s="16" t="str">
        <f ca="1">IFERROR(VLOOKUP(ROWS($U$1:U143),$R$2:$S$918,2,FALSE),"")</f>
        <v>Clinical Nurse Specialist: Gerontology-364SG0600X</v>
      </c>
    </row>
    <row r="145" spans="1:21" x14ac:dyDescent="0.3">
      <c r="A145" s="21" t="s">
        <v>1749</v>
      </c>
      <c r="B145" s="21" t="str">
        <f>Table1[[#This Row],[Code]]&amp;" "&amp;Table1[[#This Row],[Portico_Specialty]]</f>
        <v>364SH1100X Clinical Nurse Specialist: Holistic</v>
      </c>
      <c r="C145" s="21" t="str">
        <f>CLEAN(Table1[[#This Row],[Code]])</f>
        <v>364SH1100X</v>
      </c>
      <c r="D145" s="1" t="s">
        <v>1750</v>
      </c>
      <c r="E145" s="1"/>
      <c r="F145" s="1" t="s">
        <v>2587</v>
      </c>
      <c r="G145" s="4" t="s">
        <v>2593</v>
      </c>
      <c r="H145" s="1" t="s">
        <v>2671</v>
      </c>
      <c r="I145" s="1"/>
      <c r="J145" s="1" t="s">
        <v>2671</v>
      </c>
      <c r="K145" s="1" t="s">
        <v>2671</v>
      </c>
      <c r="L145" s="1" t="s">
        <v>2671</v>
      </c>
      <c r="M145" s="1" t="s">
        <v>2671</v>
      </c>
      <c r="N145" s="1" t="s">
        <v>2671</v>
      </c>
      <c r="O145" s="1" t="s">
        <v>2671</v>
      </c>
      <c r="P145" s="9"/>
      <c r="R145" s="16">
        <f ca="1">IF(ISNUMBER(SEARCH(INDIRECT(CELL("address")),S145)),MAX($R$1:R144)+1,0)</f>
        <v>144</v>
      </c>
      <c r="S145" s="18" t="str">
        <f>Table1[[#This Row],[Portico_Specialty]]&amp;"-"&amp;Table1[[#This Row],[Code]]</f>
        <v>Clinical Nurse Specialist: Holistic-364SH1100X</v>
      </c>
      <c r="U145" s="16" t="str">
        <f ca="1">IFERROR(VLOOKUP(ROWS($U$1:U144),$R$2:$S$918,2,FALSE),"")</f>
        <v>Clinical Nurse Specialist: Holistic-364SH1100X</v>
      </c>
    </row>
    <row r="146" spans="1:21" x14ac:dyDescent="0.3">
      <c r="A146" s="21" t="s">
        <v>1747</v>
      </c>
      <c r="B146" s="21" t="str">
        <f>Table1[[#This Row],[Code]]&amp;" "&amp;Table1[[#This Row],[Portico_Specialty]]</f>
        <v>364SH0200X Clinical Nurse Specialist: Home Health</v>
      </c>
      <c r="C146" s="21" t="str">
        <f>CLEAN(Table1[[#This Row],[Code]])</f>
        <v>364SH0200X</v>
      </c>
      <c r="D146" s="1" t="s">
        <v>1748</v>
      </c>
      <c r="E146" s="1"/>
      <c r="F146" s="1" t="s">
        <v>2587</v>
      </c>
      <c r="G146" s="4" t="s">
        <v>2593</v>
      </c>
      <c r="H146" s="1" t="s">
        <v>2671</v>
      </c>
      <c r="I146" s="1"/>
      <c r="J146" s="1" t="s">
        <v>2671</v>
      </c>
      <c r="K146" s="1" t="s">
        <v>2671</v>
      </c>
      <c r="L146" s="1" t="s">
        <v>2671</v>
      </c>
      <c r="M146" s="1" t="s">
        <v>2671</v>
      </c>
      <c r="N146" s="1" t="s">
        <v>2671</v>
      </c>
      <c r="O146" s="1" t="s">
        <v>2671</v>
      </c>
      <c r="P146" s="9"/>
      <c r="R146" s="16">
        <f ca="1">IF(ISNUMBER(SEARCH(INDIRECT(CELL("address")),S146)),MAX($R$1:R145)+1,0)</f>
        <v>145</v>
      </c>
      <c r="S146" s="18" t="str">
        <f>Table1[[#This Row],[Portico_Specialty]]&amp;"-"&amp;Table1[[#This Row],[Code]]</f>
        <v>Clinical Nurse Specialist: Home Health-364SH0200X</v>
      </c>
      <c r="U146" s="16" t="str">
        <f ca="1">IFERROR(VLOOKUP(ROWS($U$1:U145),$R$2:$S$918,2,FALSE),"")</f>
        <v>Clinical Nurse Specialist: Home Health-364SH0200X</v>
      </c>
    </row>
    <row r="147" spans="1:21" x14ac:dyDescent="0.3">
      <c r="A147" s="21" t="s">
        <v>1751</v>
      </c>
      <c r="B147" s="21" t="str">
        <f>Table1[[#This Row],[Code]]&amp;" "&amp;Table1[[#This Row],[Portico_Specialty]]</f>
        <v>364SI0800X Clinical Nurse Specialist: Informatics</v>
      </c>
      <c r="C147" s="21" t="str">
        <f>CLEAN(Table1[[#This Row],[Code]])</f>
        <v>364SI0800X</v>
      </c>
      <c r="D147" s="1" t="s">
        <v>1752</v>
      </c>
      <c r="E147" s="1"/>
      <c r="F147" s="1" t="s">
        <v>2587</v>
      </c>
      <c r="G147" s="4" t="s">
        <v>2593</v>
      </c>
      <c r="H147" s="1" t="s">
        <v>2671</v>
      </c>
      <c r="I147" s="1"/>
      <c r="J147" s="1" t="s">
        <v>2671</v>
      </c>
      <c r="K147" s="1" t="s">
        <v>2671</v>
      </c>
      <c r="L147" s="1" t="s">
        <v>2671</v>
      </c>
      <c r="M147" s="1" t="s">
        <v>2671</v>
      </c>
      <c r="N147" s="1" t="s">
        <v>2671</v>
      </c>
      <c r="O147" s="1" t="s">
        <v>2671</v>
      </c>
      <c r="P147" s="9"/>
      <c r="R147" s="16">
        <f ca="1">IF(ISNUMBER(SEARCH(INDIRECT(CELL("address")),S147)),MAX($R$1:R146)+1,0)</f>
        <v>146</v>
      </c>
      <c r="S147" s="18" t="str">
        <f>Table1[[#This Row],[Portico_Specialty]]&amp;"-"&amp;Table1[[#This Row],[Code]]</f>
        <v>Clinical Nurse Specialist: Informatics-364SI0800X</v>
      </c>
      <c r="U147" s="16" t="str">
        <f ca="1">IFERROR(VLOOKUP(ROWS($U$1:U146),$R$2:$S$918,2,FALSE),"")</f>
        <v>Clinical Nurse Specialist: Informatics-364SI0800X</v>
      </c>
    </row>
    <row r="148" spans="1:21" x14ac:dyDescent="0.3">
      <c r="A148" s="21" t="s">
        <v>1753</v>
      </c>
      <c r="B148" s="21" t="str">
        <f>Table1[[#This Row],[Code]]&amp;" "&amp;Table1[[#This Row],[Portico_Specialty]]</f>
        <v>364SL0600X Clinical Nurse Specialist: Long-Term Care</v>
      </c>
      <c r="C148" s="21" t="str">
        <f>CLEAN(Table1[[#This Row],[Code]])</f>
        <v>364SL0600X</v>
      </c>
      <c r="D148" s="1" t="s">
        <v>1754</v>
      </c>
      <c r="E148" s="1"/>
      <c r="F148" s="1" t="s">
        <v>2587</v>
      </c>
      <c r="G148" s="4" t="s">
        <v>2593</v>
      </c>
      <c r="H148" s="1" t="s">
        <v>2671</v>
      </c>
      <c r="I148" s="1"/>
      <c r="J148" s="1" t="s">
        <v>2671</v>
      </c>
      <c r="K148" s="1" t="s">
        <v>2671</v>
      </c>
      <c r="L148" s="1" t="s">
        <v>2671</v>
      </c>
      <c r="M148" s="1" t="s">
        <v>2671</v>
      </c>
      <c r="N148" s="1" t="s">
        <v>2671</v>
      </c>
      <c r="O148" s="1" t="s">
        <v>2671</v>
      </c>
      <c r="P148" s="9"/>
      <c r="R148" s="16">
        <f ca="1">IF(ISNUMBER(SEARCH(INDIRECT(CELL("address")),S148)),MAX($R$1:R147)+1,0)</f>
        <v>147</v>
      </c>
      <c r="S148" s="18" t="str">
        <f>Table1[[#This Row],[Portico_Specialty]]&amp;"-"&amp;Table1[[#This Row],[Code]]</f>
        <v>Clinical Nurse Specialist: Long-Term Care-364SL0600X</v>
      </c>
      <c r="U148" s="16" t="str">
        <f ca="1">IFERROR(VLOOKUP(ROWS($U$1:U147),$R$2:$S$918,2,FALSE),"")</f>
        <v>Clinical Nurse Specialist: Long-Term Care-364SL0600X</v>
      </c>
    </row>
    <row r="149" spans="1:21" x14ac:dyDescent="0.3">
      <c r="A149" s="21" t="s">
        <v>1755</v>
      </c>
      <c r="B149" s="21" t="str">
        <f>Table1[[#This Row],[Code]]&amp;" "&amp;Table1[[#This Row],[Portico_Specialty]]</f>
        <v>364SM0705X Clinical Nurse Specialist: Medical-Surgical</v>
      </c>
      <c r="C149" s="21" t="str">
        <f>CLEAN(Table1[[#This Row],[Code]])</f>
        <v>364SM0705X</v>
      </c>
      <c r="D149" s="1" t="s">
        <v>1756</v>
      </c>
      <c r="E149" s="1"/>
      <c r="F149" s="1" t="s">
        <v>2587</v>
      </c>
      <c r="G149" s="4" t="s">
        <v>2593</v>
      </c>
      <c r="H149" s="1" t="s">
        <v>2671</v>
      </c>
      <c r="I149" s="1"/>
      <c r="J149" s="1" t="s">
        <v>2671</v>
      </c>
      <c r="K149" s="1" t="s">
        <v>2671</v>
      </c>
      <c r="L149" s="1" t="s">
        <v>2671</v>
      </c>
      <c r="M149" s="1" t="s">
        <v>2671</v>
      </c>
      <c r="N149" s="1" t="s">
        <v>2671</v>
      </c>
      <c r="O149" s="1" t="s">
        <v>2671</v>
      </c>
      <c r="P149" s="9"/>
      <c r="R149" s="16">
        <f ca="1">IF(ISNUMBER(SEARCH(INDIRECT(CELL("address")),S149)),MAX($R$1:R148)+1,0)</f>
        <v>148</v>
      </c>
      <c r="S149" s="18" t="str">
        <f>Table1[[#This Row],[Portico_Specialty]]&amp;"-"&amp;Table1[[#This Row],[Code]]</f>
        <v>Clinical Nurse Specialist: Medical-Surgical-364SM0705X</v>
      </c>
      <c r="U149" s="16" t="str">
        <f ca="1">IFERROR(VLOOKUP(ROWS($U$1:U148),$R$2:$S$918,2,FALSE),"")</f>
        <v>Clinical Nurse Specialist: Medical-Surgical-364SM0705X</v>
      </c>
    </row>
    <row r="150" spans="1:21" x14ac:dyDescent="0.3">
      <c r="A150" s="21" t="s">
        <v>1757</v>
      </c>
      <c r="B150" s="21" t="str">
        <f>Table1[[#This Row],[Code]]&amp;" "&amp;Table1[[#This Row],[Portico_Specialty]]</f>
        <v>364SN0000X Clinical Nurse Specialist: Neonatal</v>
      </c>
      <c r="C150" s="21" t="str">
        <f>CLEAN(Table1[[#This Row],[Code]])</f>
        <v>364SN0000X</v>
      </c>
      <c r="D150" s="1" t="s">
        <v>1758</v>
      </c>
      <c r="E150" s="1"/>
      <c r="F150" s="1" t="s">
        <v>2587</v>
      </c>
      <c r="G150" s="4" t="s">
        <v>2593</v>
      </c>
      <c r="H150" s="1" t="s">
        <v>2671</v>
      </c>
      <c r="I150" s="1"/>
      <c r="J150" s="1" t="s">
        <v>2671</v>
      </c>
      <c r="K150" s="1" t="s">
        <v>2671</v>
      </c>
      <c r="L150" s="1" t="s">
        <v>2671</v>
      </c>
      <c r="M150" s="1" t="s">
        <v>2671</v>
      </c>
      <c r="N150" s="1" t="s">
        <v>2671</v>
      </c>
      <c r="O150" s="1" t="s">
        <v>2671</v>
      </c>
      <c r="P150" s="9"/>
      <c r="R150" s="16">
        <f ca="1">IF(ISNUMBER(SEARCH(INDIRECT(CELL("address")),S150)),MAX($R$1:R149)+1,0)</f>
        <v>149</v>
      </c>
      <c r="S150" s="18" t="str">
        <f>Table1[[#This Row],[Portico_Specialty]]&amp;"-"&amp;Table1[[#This Row],[Code]]</f>
        <v>Clinical Nurse Specialist: Neonatal-364SN0000X</v>
      </c>
      <c r="U150" s="16" t="str">
        <f ca="1">IFERROR(VLOOKUP(ROWS($U$1:U149),$R$2:$S$918,2,FALSE),"")</f>
        <v>Clinical Nurse Specialist: Neonatal-364SN0000X</v>
      </c>
    </row>
    <row r="151" spans="1:21" x14ac:dyDescent="0.3">
      <c r="A151" s="21" t="s">
        <v>1759</v>
      </c>
      <c r="B151" s="21" t="str">
        <f>Table1[[#This Row],[Code]]&amp;" "&amp;Table1[[#This Row],[Portico_Specialty]]</f>
        <v>364SN0800X Clinical Nurse Specialist: Neuroscience</v>
      </c>
      <c r="C151" s="21" t="str">
        <f>CLEAN(Table1[[#This Row],[Code]])</f>
        <v>364SN0800X</v>
      </c>
      <c r="D151" s="1" t="s">
        <v>1760</v>
      </c>
      <c r="E151" s="1"/>
      <c r="F151" s="1" t="s">
        <v>2587</v>
      </c>
      <c r="G151" s="4" t="s">
        <v>2593</v>
      </c>
      <c r="H151" s="1" t="s">
        <v>2671</v>
      </c>
      <c r="I151" s="1"/>
      <c r="J151" s="1" t="s">
        <v>2671</v>
      </c>
      <c r="K151" s="1" t="s">
        <v>2671</v>
      </c>
      <c r="L151" s="1" t="s">
        <v>2671</v>
      </c>
      <c r="M151" s="1" t="s">
        <v>2671</v>
      </c>
      <c r="N151" s="1" t="s">
        <v>2671</v>
      </c>
      <c r="O151" s="1" t="s">
        <v>2671</v>
      </c>
      <c r="P151" s="9"/>
      <c r="R151" s="16">
        <f ca="1">IF(ISNUMBER(SEARCH(INDIRECT(CELL("address")),S151)),MAX($R$1:R150)+1,0)</f>
        <v>150</v>
      </c>
      <c r="S151" s="18" t="str">
        <f>Table1[[#This Row],[Portico_Specialty]]&amp;"-"&amp;Table1[[#This Row],[Code]]</f>
        <v>Clinical Nurse Specialist: Neuroscience-364SN0800X</v>
      </c>
      <c r="U151" s="16" t="str">
        <f ca="1">IFERROR(VLOOKUP(ROWS($U$1:U150),$R$2:$S$918,2,FALSE),"")</f>
        <v>Clinical Nurse Specialist: Neuroscience-364SN0800X</v>
      </c>
    </row>
    <row r="152" spans="1:21" ht="30.75" x14ac:dyDescent="0.3">
      <c r="A152" s="21" t="s">
        <v>1789</v>
      </c>
      <c r="B152" s="21" t="str">
        <f>Table1[[#This Row],[Code]]&amp;" "&amp;Table1[[#This Row],[Portico_Specialty]]</f>
        <v>364SX0106X Clinical Nurse Specialist: Occupational Health</v>
      </c>
      <c r="C152" s="21" t="str">
        <f>CLEAN(Table1[[#This Row],[Code]])</f>
        <v>364SX0106X</v>
      </c>
      <c r="D152" s="1" t="s">
        <v>1790</v>
      </c>
      <c r="E152" s="1"/>
      <c r="F152" s="1" t="s">
        <v>2587</v>
      </c>
      <c r="G152" s="4" t="s">
        <v>2593</v>
      </c>
      <c r="H152" s="1" t="s">
        <v>2671</v>
      </c>
      <c r="I152" s="1"/>
      <c r="J152" s="1" t="s">
        <v>2671</v>
      </c>
      <c r="K152" s="1" t="s">
        <v>2671</v>
      </c>
      <c r="L152" s="1" t="s">
        <v>2671</v>
      </c>
      <c r="M152" s="1" t="s">
        <v>2671</v>
      </c>
      <c r="N152" s="1" t="s">
        <v>2671</v>
      </c>
      <c r="O152" s="1" t="s">
        <v>2671</v>
      </c>
      <c r="P152" s="9"/>
      <c r="R152" s="16">
        <f ca="1">IF(ISNUMBER(SEARCH(INDIRECT(CELL("address")),S152)),MAX($R$1:R151)+1,0)</f>
        <v>151</v>
      </c>
      <c r="S152" s="18" t="str">
        <f>Table1[[#This Row],[Portico_Specialty]]&amp;"-"&amp;Table1[[#This Row],[Code]]</f>
        <v>Clinical Nurse Specialist: Occupational Health-364SX0106X</v>
      </c>
      <c r="U152" s="16" t="str">
        <f ca="1">IFERROR(VLOOKUP(ROWS($U$1:U151),$R$2:$S$918,2,FALSE),"")</f>
        <v>Clinical Nurse Specialist: Occupational Health-364SX0106X</v>
      </c>
    </row>
    <row r="153" spans="1:21" x14ac:dyDescent="0.3">
      <c r="A153" s="21" t="s">
        <v>1791</v>
      </c>
      <c r="B153" s="21" t="str">
        <f>Table1[[#This Row],[Code]]&amp;" "&amp;Table1[[#This Row],[Portico_Specialty]]</f>
        <v>364SX0200X Clinical Nurse Specialist: Oncology</v>
      </c>
      <c r="C153" s="21" t="str">
        <f>CLEAN(Table1[[#This Row],[Code]])</f>
        <v>364SX0200X</v>
      </c>
      <c r="D153" s="1" t="s">
        <v>1792</v>
      </c>
      <c r="E153" s="1"/>
      <c r="F153" s="1" t="s">
        <v>2587</v>
      </c>
      <c r="G153" s="4" t="s">
        <v>2593</v>
      </c>
      <c r="H153" s="1" t="s">
        <v>2671</v>
      </c>
      <c r="I153" s="1"/>
      <c r="J153" s="1" t="s">
        <v>2671</v>
      </c>
      <c r="K153" s="1" t="s">
        <v>2671</v>
      </c>
      <c r="L153" s="1" t="s">
        <v>2671</v>
      </c>
      <c r="M153" s="1" t="s">
        <v>2671</v>
      </c>
      <c r="N153" s="1" t="s">
        <v>2671</v>
      </c>
      <c r="O153" s="1" t="s">
        <v>2671</v>
      </c>
      <c r="P153" s="9"/>
      <c r="R153" s="16">
        <f ca="1">IF(ISNUMBER(SEARCH(INDIRECT(CELL("address")),S153)),MAX($R$1:R152)+1,0)</f>
        <v>152</v>
      </c>
      <c r="S153" s="18" t="str">
        <f>Table1[[#This Row],[Portico_Specialty]]&amp;"-"&amp;Table1[[#This Row],[Code]]</f>
        <v>Clinical Nurse Specialist: Oncology-364SX0200X</v>
      </c>
      <c r="U153" s="16" t="str">
        <f ca="1">IFERROR(VLOOKUP(ROWS($U$1:U152),$R$2:$S$918,2,FALSE),"")</f>
        <v>Clinical Nurse Specialist: Oncology-364SX0200X</v>
      </c>
    </row>
    <row r="154" spans="1:21" ht="30.75" x14ac:dyDescent="0.3">
      <c r="A154" s="21" t="s">
        <v>1793</v>
      </c>
      <c r="B154" s="21" t="str">
        <f>Table1[[#This Row],[Code]]&amp;" "&amp;Table1[[#This Row],[Portico_Specialty]]</f>
        <v>364SX0204X Clinical Nurse Specialist: Oncology, Pediatrics</v>
      </c>
      <c r="C154" s="21" t="str">
        <f>CLEAN(Table1[[#This Row],[Code]])</f>
        <v>364SX0204X</v>
      </c>
      <c r="D154" s="1" t="s">
        <v>1794</v>
      </c>
      <c r="E154" s="1"/>
      <c r="F154" s="1" t="s">
        <v>2587</v>
      </c>
      <c r="G154" s="4" t="s">
        <v>2593</v>
      </c>
      <c r="H154" s="1" t="s">
        <v>2671</v>
      </c>
      <c r="I154" s="1"/>
      <c r="J154" s="1" t="s">
        <v>2671</v>
      </c>
      <c r="K154" s="1" t="s">
        <v>2671</v>
      </c>
      <c r="L154" s="1" t="s">
        <v>2671</v>
      </c>
      <c r="M154" s="1" t="s">
        <v>2671</v>
      </c>
      <c r="N154" s="1" t="s">
        <v>2671</v>
      </c>
      <c r="O154" s="1" t="s">
        <v>2671</v>
      </c>
      <c r="P154" s="9"/>
      <c r="R154" s="16">
        <f ca="1">IF(ISNUMBER(SEARCH(INDIRECT(CELL("address")),S154)),MAX($R$1:R153)+1,0)</f>
        <v>153</v>
      </c>
      <c r="S154" s="18" t="str">
        <f>Table1[[#This Row],[Portico_Specialty]]&amp;"-"&amp;Table1[[#This Row],[Code]]</f>
        <v>Clinical Nurse Specialist: Oncology, Pediatrics-364SX0204X</v>
      </c>
      <c r="U154" s="16" t="str">
        <f ca="1">IFERROR(VLOOKUP(ROWS($U$1:U153),$R$2:$S$918,2,FALSE),"")</f>
        <v>Clinical Nurse Specialist: Oncology, Pediatrics-364SX0204X</v>
      </c>
    </row>
    <row r="155" spans="1:21" x14ac:dyDescent="0.3">
      <c r="A155" s="21" t="s">
        <v>1761</v>
      </c>
      <c r="B155" s="21" t="str">
        <f>Table1[[#This Row],[Code]]&amp;" "&amp;Table1[[#This Row],[Portico_Specialty]]</f>
        <v>364SP0200X Clinical Nurse Specialist: Pediatrics</v>
      </c>
      <c r="C155" s="21" t="str">
        <f>CLEAN(Table1[[#This Row],[Code]])</f>
        <v>364SP0200X</v>
      </c>
      <c r="D155" s="1" t="s">
        <v>1762</v>
      </c>
      <c r="E155" s="1"/>
      <c r="F155" s="1" t="s">
        <v>2587</v>
      </c>
      <c r="G155" s="4" t="s">
        <v>2593</v>
      </c>
      <c r="H155" s="1" t="s">
        <v>2671</v>
      </c>
      <c r="I155" s="1"/>
      <c r="J155" s="1" t="s">
        <v>2671</v>
      </c>
      <c r="K155" s="1" t="s">
        <v>2671</v>
      </c>
      <c r="L155" s="1" t="s">
        <v>2671</v>
      </c>
      <c r="M155" s="1" t="s">
        <v>2671</v>
      </c>
      <c r="N155" s="1" t="s">
        <v>2671</v>
      </c>
      <c r="O155" s="1" t="s">
        <v>2671</v>
      </c>
      <c r="P155" s="9"/>
      <c r="R155" s="16">
        <f ca="1">IF(ISNUMBER(SEARCH(INDIRECT(CELL("address")),S155)),MAX($R$1:R154)+1,0)</f>
        <v>154</v>
      </c>
      <c r="S155" s="18" t="str">
        <f>Table1[[#This Row],[Portico_Specialty]]&amp;"-"&amp;Table1[[#This Row],[Code]]</f>
        <v>Clinical Nurse Specialist: Pediatrics-364SP0200X</v>
      </c>
      <c r="U155" s="16" t="str">
        <f ca="1">IFERROR(VLOOKUP(ROWS($U$1:U154),$R$2:$S$918,2,FALSE),"")</f>
        <v>Clinical Nurse Specialist: Pediatrics-364SP0200X</v>
      </c>
    </row>
    <row r="156" spans="1:21" x14ac:dyDescent="0.3">
      <c r="A156" s="21" t="s">
        <v>1777</v>
      </c>
      <c r="B156" s="21" t="str">
        <f>Table1[[#This Row],[Code]]&amp;" "&amp;Table1[[#This Row],[Portico_Specialty]]</f>
        <v>364SP1700X Clinical Nurse Specialist: Perinatal</v>
      </c>
      <c r="C156" s="21" t="str">
        <f>CLEAN(Table1[[#This Row],[Code]])</f>
        <v>364SP1700X</v>
      </c>
      <c r="D156" s="1" t="s">
        <v>1778</v>
      </c>
      <c r="E156" s="1"/>
      <c r="F156" s="1" t="s">
        <v>2587</v>
      </c>
      <c r="G156" s="4" t="s">
        <v>2593</v>
      </c>
      <c r="H156" s="1" t="s">
        <v>2671</v>
      </c>
      <c r="I156" s="1"/>
      <c r="J156" s="1" t="s">
        <v>2671</v>
      </c>
      <c r="K156" s="1" t="s">
        <v>2671</v>
      </c>
      <c r="L156" s="1" t="s">
        <v>2671</v>
      </c>
      <c r="M156" s="1" t="s">
        <v>2671</v>
      </c>
      <c r="N156" s="1" t="s">
        <v>2671</v>
      </c>
      <c r="O156" s="1" t="s">
        <v>2671</v>
      </c>
      <c r="P156" s="9"/>
      <c r="R156" s="16">
        <f ca="1">IF(ISNUMBER(SEARCH(INDIRECT(CELL("address")),S156)),MAX($R$1:R155)+1,0)</f>
        <v>155</v>
      </c>
      <c r="S156" s="18" t="str">
        <f>Table1[[#This Row],[Portico_Specialty]]&amp;"-"&amp;Table1[[#This Row],[Code]]</f>
        <v>Clinical Nurse Specialist: Perinatal-364SP1700X</v>
      </c>
      <c r="U156" s="16" t="str">
        <f ca="1">IFERROR(VLOOKUP(ROWS($U$1:U155),$R$2:$S$918,2,FALSE),"")</f>
        <v>Clinical Nurse Specialist: Perinatal-364SP1700X</v>
      </c>
    </row>
    <row r="157" spans="1:21" x14ac:dyDescent="0.3">
      <c r="A157" s="21" t="s">
        <v>1779</v>
      </c>
      <c r="B157" s="21" t="str">
        <f>Table1[[#This Row],[Code]]&amp;" "&amp;Table1[[#This Row],[Portico_Specialty]]</f>
        <v>364SP2800X Clinical Nurse Specialist: Perioperative</v>
      </c>
      <c r="C157" s="21" t="str">
        <f>CLEAN(Table1[[#This Row],[Code]])</f>
        <v>364SP2800X</v>
      </c>
      <c r="D157" s="1" t="s">
        <v>1780</v>
      </c>
      <c r="E157" s="1"/>
      <c r="F157" s="1" t="s">
        <v>2587</v>
      </c>
      <c r="G157" s="4" t="s">
        <v>2593</v>
      </c>
      <c r="H157" s="1" t="s">
        <v>2671</v>
      </c>
      <c r="I157" s="1"/>
      <c r="J157" s="1" t="s">
        <v>2671</v>
      </c>
      <c r="K157" s="1" t="s">
        <v>2671</v>
      </c>
      <c r="L157" s="1" t="s">
        <v>2671</v>
      </c>
      <c r="M157" s="1" t="s">
        <v>2671</v>
      </c>
      <c r="N157" s="1" t="s">
        <v>2671</v>
      </c>
      <c r="O157" s="1" t="s">
        <v>2671</v>
      </c>
      <c r="P157" s="9"/>
      <c r="R157" s="16">
        <f ca="1">IF(ISNUMBER(SEARCH(INDIRECT(CELL("address")),S157)),MAX($R$1:R156)+1,0)</f>
        <v>156</v>
      </c>
      <c r="S157" s="18" t="str">
        <f>Table1[[#This Row],[Portico_Specialty]]&amp;"-"&amp;Table1[[#This Row],[Code]]</f>
        <v>Clinical Nurse Specialist: Perioperative-364SP2800X</v>
      </c>
      <c r="U157" s="16" t="str">
        <f ca="1">IFERROR(VLOOKUP(ROWS($U$1:U156),$R$2:$S$918,2,FALSE),"")</f>
        <v>Clinical Nurse Specialist: Perioperative-364SP2800X</v>
      </c>
    </row>
    <row r="158" spans="1:21" ht="30.75" x14ac:dyDescent="0.3">
      <c r="A158" s="21" t="s">
        <v>1765</v>
      </c>
      <c r="B158" s="21" t="str">
        <f>Table1[[#This Row],[Code]]&amp;" "&amp;Table1[[#This Row],[Portico_Specialty]]</f>
        <v>364SP0808X Clinical Nurse Specialist: Psych/Mental Health</v>
      </c>
      <c r="C158" s="21" t="str">
        <f>CLEAN(Table1[[#This Row],[Code]])</f>
        <v>364SP0808X</v>
      </c>
      <c r="D158" s="1" t="s">
        <v>1766</v>
      </c>
      <c r="E158" s="1"/>
      <c r="F158" s="1" t="s">
        <v>2607</v>
      </c>
      <c r="G158" s="4" t="s">
        <v>2593</v>
      </c>
      <c r="H158" s="1" t="s">
        <v>2671</v>
      </c>
      <c r="I158" s="1"/>
      <c r="J158" s="1" t="s">
        <v>2671</v>
      </c>
      <c r="K158" s="1" t="s">
        <v>2671</v>
      </c>
      <c r="L158" s="1" t="s">
        <v>2671</v>
      </c>
      <c r="M158" s="1" t="s">
        <v>2671</v>
      </c>
      <c r="N158" s="1" t="s">
        <v>2671</v>
      </c>
      <c r="O158" s="1" t="s">
        <v>2671</v>
      </c>
      <c r="P158" s="9"/>
      <c r="R158" s="16">
        <f ca="1">IF(ISNUMBER(SEARCH(INDIRECT(CELL("address")),S158)),MAX($R$1:R157)+1,0)</f>
        <v>157</v>
      </c>
      <c r="S158" s="18" t="str">
        <f>Table1[[#This Row],[Portico_Specialty]]&amp;"-"&amp;Table1[[#This Row],[Code]]</f>
        <v>Clinical Nurse Specialist: Psych/Mental Health-364SP0808X</v>
      </c>
      <c r="U158" s="16" t="str">
        <f ca="1">IFERROR(VLOOKUP(ROWS($U$1:U157),$R$2:$S$918,2,FALSE),"")</f>
        <v>Clinical Nurse Specialist: Psych/Mental Health-364SP0808X</v>
      </c>
    </row>
    <row r="159" spans="1:21" ht="30.75" x14ac:dyDescent="0.3">
      <c r="A159" s="21" t="s">
        <v>1767</v>
      </c>
      <c r="B159" s="21" t="str">
        <f>Table1[[#This Row],[Code]]&amp;" "&amp;Table1[[#This Row],[Portico_Specialty]]</f>
        <v>364SP0809X Clinical Nurse Specialist: Psych/Mental Health, Adult</v>
      </c>
      <c r="C159" s="21" t="str">
        <f>CLEAN(Table1[[#This Row],[Code]])</f>
        <v>364SP0809X</v>
      </c>
      <c r="D159" s="1" t="s">
        <v>1768</v>
      </c>
      <c r="E159" s="1"/>
      <c r="F159" s="1" t="s">
        <v>2607</v>
      </c>
      <c r="G159" s="4" t="s">
        <v>2593</v>
      </c>
      <c r="H159" s="1" t="s">
        <v>2671</v>
      </c>
      <c r="I159" s="1"/>
      <c r="J159" s="1" t="s">
        <v>2671</v>
      </c>
      <c r="K159" s="1" t="s">
        <v>2671</v>
      </c>
      <c r="L159" s="1" t="s">
        <v>2671</v>
      </c>
      <c r="M159" s="1" t="s">
        <v>2671</v>
      </c>
      <c r="N159" s="1" t="s">
        <v>2671</v>
      </c>
      <c r="O159" s="1" t="s">
        <v>2671</v>
      </c>
      <c r="P159" s="9"/>
      <c r="R159" s="16">
        <f ca="1">IF(ISNUMBER(SEARCH(INDIRECT(CELL("address")),S159)),MAX($R$1:R158)+1,0)</f>
        <v>158</v>
      </c>
      <c r="S159" s="18" t="str">
        <f>Table1[[#This Row],[Portico_Specialty]]&amp;"-"&amp;Table1[[#This Row],[Code]]</f>
        <v>Clinical Nurse Specialist: Psych/Mental Health, Adult-364SP0809X</v>
      </c>
      <c r="U159" s="16" t="str">
        <f ca="1">IFERROR(VLOOKUP(ROWS($U$1:U158),$R$2:$S$918,2,FALSE),"")</f>
        <v>Clinical Nurse Specialist: Psych/Mental Health, Adult-364SP0809X</v>
      </c>
    </row>
    <row r="160" spans="1:21" ht="30.75" x14ac:dyDescent="0.3">
      <c r="A160" s="21" t="s">
        <v>1763</v>
      </c>
      <c r="B160" s="21" t="str">
        <f>Table1[[#This Row],[Code]]&amp;" "&amp;Table1[[#This Row],[Portico_Specialty]]</f>
        <v>364SP0807X Clinical Nurse Specialist: Psych/Mental Health, Child &amp; Adolescent</v>
      </c>
      <c r="C160" s="21" t="str">
        <f>CLEAN(Table1[[#This Row],[Code]])</f>
        <v>364SP0807X</v>
      </c>
      <c r="D160" s="1" t="s">
        <v>1764</v>
      </c>
      <c r="E160" s="1"/>
      <c r="F160" s="1" t="s">
        <v>2607</v>
      </c>
      <c r="G160" s="4" t="s">
        <v>2593</v>
      </c>
      <c r="H160" s="1" t="s">
        <v>2671</v>
      </c>
      <c r="I160" s="1"/>
      <c r="J160" s="1" t="s">
        <v>2671</v>
      </c>
      <c r="K160" s="1" t="s">
        <v>2671</v>
      </c>
      <c r="L160" s="1" t="s">
        <v>2671</v>
      </c>
      <c r="M160" s="1" t="s">
        <v>2671</v>
      </c>
      <c r="N160" s="1" t="s">
        <v>2671</v>
      </c>
      <c r="O160" s="1" t="s">
        <v>2671</v>
      </c>
      <c r="P160" s="9"/>
      <c r="R160" s="16">
        <f ca="1">IF(ISNUMBER(SEARCH(INDIRECT(CELL("address")),S160)),MAX($R$1:R159)+1,0)</f>
        <v>159</v>
      </c>
      <c r="S160" s="18" t="str">
        <f>Table1[[#This Row],[Portico_Specialty]]&amp;"-"&amp;Table1[[#This Row],[Code]]</f>
        <v>Clinical Nurse Specialist: Psych/Mental Health, Child &amp; Adolescent-364SP0807X</v>
      </c>
      <c r="U160" s="16" t="str">
        <f ca="1">IFERROR(VLOOKUP(ROWS($U$1:U159),$R$2:$S$918,2,FALSE),"")</f>
        <v>Clinical Nurse Specialist: Psych/Mental Health, Child &amp; Adolescent-364SP0807X</v>
      </c>
    </row>
    <row r="161" spans="1:21" ht="30.75" x14ac:dyDescent="0.3">
      <c r="A161" s="21" t="s">
        <v>1769</v>
      </c>
      <c r="B161" s="21" t="str">
        <f>Table1[[#This Row],[Code]]&amp;" "&amp;Table1[[#This Row],[Portico_Specialty]]</f>
        <v>364SP0810X Clinical Nurse Specialist: Psych/Mental Health, Child &amp; Family</v>
      </c>
      <c r="C161" s="21" t="str">
        <f>CLEAN(Table1[[#This Row],[Code]])</f>
        <v>364SP0810X</v>
      </c>
      <c r="D161" s="1" t="s">
        <v>1770</v>
      </c>
      <c r="E161" s="1"/>
      <c r="F161" s="1" t="s">
        <v>2607</v>
      </c>
      <c r="G161" s="4" t="s">
        <v>2593</v>
      </c>
      <c r="H161" s="1" t="s">
        <v>2671</v>
      </c>
      <c r="I161" s="1"/>
      <c r="J161" s="1" t="s">
        <v>2671</v>
      </c>
      <c r="K161" s="1" t="s">
        <v>2671</v>
      </c>
      <c r="L161" s="1" t="s">
        <v>2671</v>
      </c>
      <c r="M161" s="1" t="s">
        <v>2671</v>
      </c>
      <c r="N161" s="1" t="s">
        <v>2671</v>
      </c>
      <c r="O161" s="1" t="s">
        <v>2671</v>
      </c>
      <c r="P161" s="9"/>
      <c r="R161" s="16">
        <f ca="1">IF(ISNUMBER(SEARCH(INDIRECT(CELL("address")),S161)),MAX($R$1:R160)+1,0)</f>
        <v>160</v>
      </c>
      <c r="S161" s="18" t="str">
        <f>Table1[[#This Row],[Portico_Specialty]]&amp;"-"&amp;Table1[[#This Row],[Code]]</f>
        <v>Clinical Nurse Specialist: Psych/Mental Health, Child &amp; Family-364SP0810X</v>
      </c>
      <c r="U161" s="16" t="str">
        <f ca="1">IFERROR(VLOOKUP(ROWS($U$1:U160),$R$2:$S$918,2,FALSE),"")</f>
        <v>Clinical Nurse Specialist: Psych/Mental Health, Child &amp; Family-364SP0810X</v>
      </c>
    </row>
    <row r="162" spans="1:21" ht="30.75" x14ac:dyDescent="0.3">
      <c r="A162" s="21" t="s">
        <v>1771</v>
      </c>
      <c r="B162" s="21" t="str">
        <f>Table1[[#This Row],[Code]]&amp;" "&amp;Table1[[#This Row],[Portico_Specialty]]</f>
        <v>364SP0811X Clinical Nurse Specialist: Psych/Mental Health, Chronically Ill</v>
      </c>
      <c r="C162" s="21" t="str">
        <f>CLEAN(Table1[[#This Row],[Code]])</f>
        <v>364SP0811X</v>
      </c>
      <c r="D162" s="1" t="s">
        <v>1772</v>
      </c>
      <c r="E162" s="1"/>
      <c r="F162" s="1" t="s">
        <v>2607</v>
      </c>
      <c r="G162" s="4" t="s">
        <v>2593</v>
      </c>
      <c r="H162" s="1" t="s">
        <v>2671</v>
      </c>
      <c r="I162" s="1"/>
      <c r="J162" s="1" t="s">
        <v>2671</v>
      </c>
      <c r="K162" s="1" t="s">
        <v>2671</v>
      </c>
      <c r="L162" s="1" t="s">
        <v>2671</v>
      </c>
      <c r="M162" s="1" t="s">
        <v>2671</v>
      </c>
      <c r="N162" s="1" t="s">
        <v>2671</v>
      </c>
      <c r="O162" s="1" t="s">
        <v>2671</v>
      </c>
      <c r="P162" s="9"/>
      <c r="R162" s="16">
        <f ca="1">IF(ISNUMBER(SEARCH(INDIRECT(CELL("address")),S162)),MAX($R$1:R161)+1,0)</f>
        <v>161</v>
      </c>
      <c r="S162" s="18" t="str">
        <f>Table1[[#This Row],[Portico_Specialty]]&amp;"-"&amp;Table1[[#This Row],[Code]]</f>
        <v>Clinical Nurse Specialist: Psych/Mental Health, Chronically Ill-364SP0811X</v>
      </c>
      <c r="U162" s="16" t="str">
        <f ca="1">IFERROR(VLOOKUP(ROWS($U$1:U161),$R$2:$S$918,2,FALSE),"")</f>
        <v>Clinical Nurse Specialist: Psych/Mental Health, Chronically Ill-364SP0811X</v>
      </c>
    </row>
    <row r="163" spans="1:21" ht="30.75" x14ac:dyDescent="0.3">
      <c r="A163" s="21" t="s">
        <v>1773</v>
      </c>
      <c r="B163" s="21" t="str">
        <f>Table1[[#This Row],[Code]]&amp;" "&amp;Table1[[#This Row],[Portico_Specialty]]</f>
        <v>364SP0812X Clinical Nurse Specialist: Psych/Mental Health, Community</v>
      </c>
      <c r="C163" s="21" t="str">
        <f>CLEAN(Table1[[#This Row],[Code]])</f>
        <v>364SP0812X</v>
      </c>
      <c r="D163" s="1" t="s">
        <v>1774</v>
      </c>
      <c r="E163" s="1"/>
      <c r="F163" s="1" t="s">
        <v>2607</v>
      </c>
      <c r="G163" s="4" t="s">
        <v>2593</v>
      </c>
      <c r="H163" s="1" t="s">
        <v>2671</v>
      </c>
      <c r="I163" s="1"/>
      <c r="J163" s="1" t="s">
        <v>2671</v>
      </c>
      <c r="K163" s="1" t="s">
        <v>2671</v>
      </c>
      <c r="L163" s="1" t="s">
        <v>2671</v>
      </c>
      <c r="M163" s="1" t="s">
        <v>2671</v>
      </c>
      <c r="N163" s="1" t="s">
        <v>2671</v>
      </c>
      <c r="O163" s="1" t="s">
        <v>2671</v>
      </c>
      <c r="P163" s="9"/>
      <c r="R163" s="16">
        <f ca="1">IF(ISNUMBER(SEARCH(INDIRECT(CELL("address")),S163)),MAX($R$1:R162)+1,0)</f>
        <v>162</v>
      </c>
      <c r="S163" s="18" t="str">
        <f>Table1[[#This Row],[Portico_Specialty]]&amp;"-"&amp;Table1[[#This Row],[Code]]</f>
        <v>Clinical Nurse Specialist: Psych/Mental Health, Community-364SP0812X</v>
      </c>
      <c r="U163" s="16" t="str">
        <f ca="1">IFERROR(VLOOKUP(ROWS($U$1:U162),$R$2:$S$918,2,FALSE),"")</f>
        <v>Clinical Nurse Specialist: Psych/Mental Health, Community-364SP0812X</v>
      </c>
    </row>
    <row r="164" spans="1:21" ht="30.75" x14ac:dyDescent="0.3">
      <c r="A164" s="21" t="s">
        <v>1775</v>
      </c>
      <c r="B164" s="21" t="str">
        <f>Table1[[#This Row],[Code]]&amp;" "&amp;Table1[[#This Row],[Portico_Specialty]]</f>
        <v>364SP0813X Clinical Nurse Specialist: Psych/Mental Health, Geropsychiatric</v>
      </c>
      <c r="C164" s="21" t="str">
        <f>CLEAN(Table1[[#This Row],[Code]])</f>
        <v>364SP0813X</v>
      </c>
      <c r="D164" s="1" t="s">
        <v>1776</v>
      </c>
      <c r="E164" s="1"/>
      <c r="F164" s="1" t="s">
        <v>2607</v>
      </c>
      <c r="G164" s="4" t="s">
        <v>2593</v>
      </c>
      <c r="H164" s="1" t="s">
        <v>2671</v>
      </c>
      <c r="I164" s="1"/>
      <c r="J164" s="1" t="s">
        <v>2671</v>
      </c>
      <c r="K164" s="1" t="s">
        <v>2671</v>
      </c>
      <c r="L164" s="1" t="s">
        <v>2671</v>
      </c>
      <c r="M164" s="1" t="s">
        <v>2671</v>
      </c>
      <c r="N164" s="1" t="s">
        <v>2671</v>
      </c>
      <c r="O164" s="1" t="s">
        <v>2671</v>
      </c>
      <c r="P164" s="9"/>
      <c r="R164" s="16">
        <f ca="1">IF(ISNUMBER(SEARCH(INDIRECT(CELL("address")),S164)),MAX($R$1:R163)+1,0)</f>
        <v>163</v>
      </c>
      <c r="S164" s="18" t="str">
        <f>Table1[[#This Row],[Portico_Specialty]]&amp;"-"&amp;Table1[[#This Row],[Code]]</f>
        <v>Clinical Nurse Specialist: Psych/Mental Health, Geropsychiatric-364SP0813X</v>
      </c>
      <c r="U164" s="16" t="str">
        <f ca="1">IFERROR(VLOOKUP(ROWS($U$1:U163),$R$2:$S$918,2,FALSE),"")</f>
        <v>Clinical Nurse Specialist: Psych/Mental Health, Geropsychiatric-364SP0813X</v>
      </c>
    </row>
    <row r="165" spans="1:21" x14ac:dyDescent="0.3">
      <c r="A165" s="21" t="s">
        <v>1781</v>
      </c>
      <c r="B165" s="21" t="str">
        <f>Table1[[#This Row],[Code]]&amp;" "&amp;Table1[[#This Row],[Portico_Specialty]]</f>
        <v>364SR0400X Clinical Nurse Specialist: Rehabilitation</v>
      </c>
      <c r="C165" s="21" t="str">
        <f>CLEAN(Table1[[#This Row],[Code]])</f>
        <v>364SR0400X</v>
      </c>
      <c r="D165" s="1" t="s">
        <v>1782</v>
      </c>
      <c r="E165" s="1"/>
      <c r="F165" s="1" t="s">
        <v>2587</v>
      </c>
      <c r="G165" s="4" t="s">
        <v>2593</v>
      </c>
      <c r="H165" s="1" t="s">
        <v>2671</v>
      </c>
      <c r="I165" s="1"/>
      <c r="J165" s="1" t="s">
        <v>2671</v>
      </c>
      <c r="K165" s="1" t="s">
        <v>2671</v>
      </c>
      <c r="L165" s="1" t="s">
        <v>2671</v>
      </c>
      <c r="M165" s="1" t="s">
        <v>2671</v>
      </c>
      <c r="N165" s="1" t="s">
        <v>2671</v>
      </c>
      <c r="O165" s="1" t="s">
        <v>2671</v>
      </c>
      <c r="P165" s="9"/>
      <c r="R165" s="16">
        <f ca="1">IF(ISNUMBER(SEARCH(INDIRECT(CELL("address")),S165)),MAX($R$1:R164)+1,0)</f>
        <v>164</v>
      </c>
      <c r="S165" s="18" t="str">
        <f>Table1[[#This Row],[Portico_Specialty]]&amp;"-"&amp;Table1[[#This Row],[Code]]</f>
        <v>Clinical Nurse Specialist: Rehabilitation-364SR0400X</v>
      </c>
      <c r="U165" s="16" t="str">
        <f ca="1">IFERROR(VLOOKUP(ROWS($U$1:U164),$R$2:$S$918,2,FALSE),"")</f>
        <v>Clinical Nurse Specialist: Rehabilitation-364SR0400X</v>
      </c>
    </row>
    <row r="166" spans="1:21" x14ac:dyDescent="0.3">
      <c r="A166" s="21" t="s">
        <v>1783</v>
      </c>
      <c r="B166" s="21" t="str">
        <f>Table1[[#This Row],[Code]]&amp;" "&amp;Table1[[#This Row],[Portico_Specialty]]</f>
        <v>364SS0200X Clinical Nurse Specialist: School</v>
      </c>
      <c r="C166" s="21" t="str">
        <f>CLEAN(Table1[[#This Row],[Code]])</f>
        <v>364SS0200X</v>
      </c>
      <c r="D166" s="1" t="s">
        <v>1784</v>
      </c>
      <c r="E166" s="1"/>
      <c r="F166" s="1" t="s">
        <v>2587</v>
      </c>
      <c r="G166" s="4" t="s">
        <v>2593</v>
      </c>
      <c r="H166" s="1" t="s">
        <v>2671</v>
      </c>
      <c r="I166" s="1"/>
      <c r="J166" s="1" t="s">
        <v>2671</v>
      </c>
      <c r="K166" s="1" t="s">
        <v>2671</v>
      </c>
      <c r="L166" s="1" t="s">
        <v>2671</v>
      </c>
      <c r="M166" s="1" t="s">
        <v>2671</v>
      </c>
      <c r="N166" s="1" t="s">
        <v>2671</v>
      </c>
      <c r="O166" s="1" t="s">
        <v>2671</v>
      </c>
      <c r="P166" s="9"/>
      <c r="R166" s="16">
        <f ca="1">IF(ISNUMBER(SEARCH(INDIRECT(CELL("address")),S166)),MAX($R$1:R165)+1,0)</f>
        <v>165</v>
      </c>
      <c r="S166" s="18" t="str">
        <f>Table1[[#This Row],[Portico_Specialty]]&amp;"-"&amp;Table1[[#This Row],[Code]]</f>
        <v>Clinical Nurse Specialist: School-364SS0200X</v>
      </c>
      <c r="U166" s="16" t="str">
        <f ca="1">IFERROR(VLOOKUP(ROWS($U$1:U165),$R$2:$S$918,2,FALSE),"")</f>
        <v>Clinical Nurse Specialist: School-364SS0200X</v>
      </c>
    </row>
    <row r="167" spans="1:21" x14ac:dyDescent="0.3">
      <c r="A167" s="21" t="s">
        <v>1785</v>
      </c>
      <c r="B167" s="21" t="str">
        <f>Table1[[#This Row],[Code]]&amp;" "&amp;Table1[[#This Row],[Portico_Specialty]]</f>
        <v>364ST0500X Clinical Nurse Specialist: Transplantation</v>
      </c>
      <c r="C167" s="21" t="str">
        <f>CLEAN(Table1[[#This Row],[Code]])</f>
        <v>364ST0500X</v>
      </c>
      <c r="D167" s="1" t="s">
        <v>1786</v>
      </c>
      <c r="E167" s="1"/>
      <c r="F167" s="1" t="s">
        <v>2587</v>
      </c>
      <c r="G167" s="4" t="s">
        <v>2593</v>
      </c>
      <c r="H167" s="1" t="s">
        <v>2671</v>
      </c>
      <c r="I167" s="1"/>
      <c r="J167" s="1" t="s">
        <v>2671</v>
      </c>
      <c r="K167" s="1" t="s">
        <v>2671</v>
      </c>
      <c r="L167" s="1" t="s">
        <v>2671</v>
      </c>
      <c r="M167" s="1" t="s">
        <v>2671</v>
      </c>
      <c r="N167" s="1" t="s">
        <v>2671</v>
      </c>
      <c r="O167" s="1" t="s">
        <v>2671</v>
      </c>
      <c r="P167" s="9"/>
      <c r="R167" s="16">
        <f ca="1">IF(ISNUMBER(SEARCH(INDIRECT(CELL("address")),S167)),MAX($R$1:R166)+1,0)</f>
        <v>166</v>
      </c>
      <c r="S167" s="18" t="str">
        <f>Table1[[#This Row],[Portico_Specialty]]&amp;"-"&amp;Table1[[#This Row],[Code]]</f>
        <v>Clinical Nurse Specialist: Transplantation-364ST0500X</v>
      </c>
      <c r="U167" s="16" t="str">
        <f ca="1">IFERROR(VLOOKUP(ROWS($U$1:U166),$R$2:$S$918,2,FALSE),"")</f>
        <v>Clinical Nurse Specialist: Transplantation-364ST0500X</v>
      </c>
    </row>
    <row r="168" spans="1:21" x14ac:dyDescent="0.3">
      <c r="A168" s="21" t="s">
        <v>1787</v>
      </c>
      <c r="B168" s="21" t="str">
        <f>Table1[[#This Row],[Code]]&amp;" "&amp;Table1[[#This Row],[Portico_Specialty]]</f>
        <v>364SW0102X Clinical Nurse Specialist: Womens Health</v>
      </c>
      <c r="C168" s="21" t="str">
        <f>CLEAN(Table1[[#This Row],[Code]])</f>
        <v>364SW0102X</v>
      </c>
      <c r="D168" s="1" t="s">
        <v>1788</v>
      </c>
      <c r="E168" s="1"/>
      <c r="F168" s="1" t="s">
        <v>2587</v>
      </c>
      <c r="G168" s="4" t="s">
        <v>2593</v>
      </c>
      <c r="H168" s="1" t="s">
        <v>2671</v>
      </c>
      <c r="I168" s="1"/>
      <c r="J168" s="1" t="s">
        <v>2671</v>
      </c>
      <c r="K168" s="1" t="s">
        <v>2671</v>
      </c>
      <c r="L168" s="1" t="s">
        <v>2671</v>
      </c>
      <c r="M168" s="1" t="s">
        <v>2671</v>
      </c>
      <c r="N168" s="1" t="s">
        <v>2671</v>
      </c>
      <c r="O168" s="1" t="s">
        <v>2671</v>
      </c>
      <c r="P168" s="9"/>
      <c r="R168" s="16">
        <f ca="1">IF(ISNUMBER(SEARCH(INDIRECT(CELL("address")),S168)),MAX($R$1:R167)+1,0)</f>
        <v>167</v>
      </c>
      <c r="S168" s="18" t="str">
        <f>Table1[[#This Row],[Portico_Specialty]]&amp;"-"&amp;Table1[[#This Row],[Code]]</f>
        <v>Clinical Nurse Specialist: Womens Health-364SW0102X</v>
      </c>
      <c r="U168" s="16" t="str">
        <f ca="1">IFERROR(VLOOKUP(ROWS($U$1:U167),$R$2:$S$918,2,FALSE),"")</f>
        <v>Clinical Nurse Specialist: Womens Health-364SW0102X</v>
      </c>
    </row>
    <row r="169" spans="1:21" x14ac:dyDescent="0.3">
      <c r="A169" s="21" t="s">
        <v>989</v>
      </c>
      <c r="B169" s="21" t="str">
        <f>Table1[[#This Row],[Code]]&amp;" "&amp;Table1[[#This Row],[Portico_Specialty]]</f>
        <v>208U00000X Clinical Pharmacology</v>
      </c>
      <c r="C169" s="21" t="str">
        <f>CLEAN(Table1[[#This Row],[Code]])</f>
        <v>208U00000X</v>
      </c>
      <c r="D169" s="1" t="s">
        <v>990</v>
      </c>
      <c r="E169" s="1"/>
      <c r="F169" s="1" t="s">
        <v>2587</v>
      </c>
      <c r="G169" s="3" t="s">
        <v>2588</v>
      </c>
      <c r="H169" s="1"/>
      <c r="I169" s="1"/>
      <c r="J169" s="1" t="s">
        <v>2590</v>
      </c>
      <c r="K169" s="1" t="s">
        <v>2672</v>
      </c>
      <c r="L169" s="1"/>
      <c r="M169" s="1"/>
      <c r="N169" s="1"/>
      <c r="O169" s="1" t="s">
        <v>2672</v>
      </c>
      <c r="P169" s="9"/>
      <c r="R169" s="16">
        <f ca="1">IF(ISNUMBER(SEARCH(INDIRECT(CELL("address")),S169)),MAX($R$1:R168)+1,0)</f>
        <v>168</v>
      </c>
      <c r="S169" s="18" t="str">
        <f>Table1[[#This Row],[Portico_Specialty]]&amp;"-"&amp;Table1[[#This Row],[Code]]</f>
        <v>Clinical Pharmacology-208U00000X</v>
      </c>
      <c r="U169" s="16" t="str">
        <f ca="1">IFERROR(VLOOKUP(ROWS($U$1:U168),$R$2:$S$918,2,FALSE),"")</f>
        <v>Clinical Pharmacology-208U00000X</v>
      </c>
    </row>
    <row r="170" spans="1:21" x14ac:dyDescent="0.3">
      <c r="A170" s="21" t="s">
        <v>2616</v>
      </c>
      <c r="B170" s="21" t="str">
        <f>Table1[[#This Row],[Code]]&amp;" "&amp;Table1[[#This Row],[Portico_Specialty]]</f>
        <v>AltSpec1 CNP Dual 399</v>
      </c>
      <c r="C170" s="21" t="str">
        <f>CLEAN(Table1[[#This Row],[Code]])</f>
        <v>AltSpec1</v>
      </c>
      <c r="D170" s="1" t="s">
        <v>2673</v>
      </c>
      <c r="E170" s="1"/>
      <c r="F170" s="1" t="s">
        <v>2587</v>
      </c>
      <c r="G170" s="3" t="s">
        <v>2588</v>
      </c>
      <c r="H170" s="1"/>
      <c r="I170" s="1"/>
      <c r="J170" s="1"/>
      <c r="K170" s="1" t="s">
        <v>2674</v>
      </c>
      <c r="L170" s="1"/>
      <c r="M170" s="1"/>
      <c r="N170" s="1"/>
      <c r="O170" s="1"/>
      <c r="P170" s="9"/>
      <c r="R170" s="16">
        <f ca="1">IF(ISNUMBER(SEARCH(INDIRECT(CELL("address")),S170)),MAX($R$1:R169)+1,0)</f>
        <v>169</v>
      </c>
      <c r="S170" s="18" t="str">
        <f>Table1[[#This Row],[Portico_Specialty]]&amp;"-"&amp;Table1[[#This Row],[Code]]</f>
        <v>CNP Dual 399-AltSpec1</v>
      </c>
      <c r="U170" s="16" t="str">
        <f ca="1">IFERROR(VLOOKUP(ROWS($U$1:U169),$R$2:$S$918,2,FALSE),"")</f>
        <v>CNP Dual 399-AltSpec1</v>
      </c>
    </row>
    <row r="171" spans="1:21" x14ac:dyDescent="0.3">
      <c r="A171" s="21" t="s">
        <v>2616</v>
      </c>
      <c r="B171" s="21" t="str">
        <f>Table1[[#This Row],[Code]]&amp;" "&amp;Table1[[#This Row],[Portico_Specialty]]</f>
        <v>AltSpec1 CNP Dual 699</v>
      </c>
      <c r="C171" s="21" t="str">
        <f>CLEAN(Table1[[#This Row],[Code]])</f>
        <v>AltSpec1</v>
      </c>
      <c r="D171" s="1" t="s">
        <v>2675</v>
      </c>
      <c r="E171" s="1"/>
      <c r="F171" s="1" t="s">
        <v>2587</v>
      </c>
      <c r="G171" s="3" t="s">
        <v>2588</v>
      </c>
      <c r="H171" s="1"/>
      <c r="I171" s="1"/>
      <c r="J171" s="1"/>
      <c r="K171" s="1" t="s">
        <v>2676</v>
      </c>
      <c r="L171" s="1"/>
      <c r="M171" s="1"/>
      <c r="N171" s="1"/>
      <c r="O171" s="1"/>
      <c r="P171" s="9"/>
      <c r="R171" s="16">
        <f ca="1">IF(ISNUMBER(SEARCH(INDIRECT(CELL("address")),S171)),MAX($R$1:R170)+1,0)</f>
        <v>170</v>
      </c>
      <c r="S171" s="18" t="str">
        <f>Table1[[#This Row],[Portico_Specialty]]&amp;"-"&amp;Table1[[#This Row],[Code]]</f>
        <v>CNP Dual 699-AltSpec1</v>
      </c>
      <c r="U171" s="16" t="str">
        <f ca="1">IFERROR(VLOOKUP(ROWS($U$1:U170),$R$2:$S$918,2,FALSE),"")</f>
        <v>CNP Dual 699-AltSpec1</v>
      </c>
    </row>
    <row r="172" spans="1:21" x14ac:dyDescent="0.3">
      <c r="A172" s="21" t="s">
        <v>2616</v>
      </c>
      <c r="B172" s="21" t="str">
        <f>Table1[[#This Row],[Code]]&amp;" "&amp;Table1[[#This Row],[Portico_Specialty]]</f>
        <v>AltSpec1 CNS Dual 399</v>
      </c>
      <c r="C172" s="21" t="str">
        <f>CLEAN(Table1[[#This Row],[Code]])</f>
        <v>AltSpec1</v>
      </c>
      <c r="D172" s="1" t="s">
        <v>2677</v>
      </c>
      <c r="E172" s="1"/>
      <c r="F172" s="1" t="s">
        <v>2587</v>
      </c>
      <c r="G172" s="3" t="s">
        <v>2588</v>
      </c>
      <c r="H172" s="1"/>
      <c r="I172" s="1"/>
      <c r="J172" s="1"/>
      <c r="K172" s="1" t="s">
        <v>2678</v>
      </c>
      <c r="L172" s="1"/>
      <c r="M172" s="1"/>
      <c r="N172" s="1"/>
      <c r="O172" s="1"/>
      <c r="P172" s="9"/>
      <c r="R172" s="16">
        <f ca="1">IF(ISNUMBER(SEARCH(INDIRECT(CELL("address")),S172)),MAX($R$1:R171)+1,0)</f>
        <v>171</v>
      </c>
      <c r="S172" s="18" t="str">
        <f>Table1[[#This Row],[Portico_Specialty]]&amp;"-"&amp;Table1[[#This Row],[Code]]</f>
        <v>CNS Dual 399-AltSpec1</v>
      </c>
      <c r="U172" s="16" t="str">
        <f ca="1">IFERROR(VLOOKUP(ROWS($U$1:U171),$R$2:$S$918,2,FALSE),"")</f>
        <v>CNS Dual 399-AltSpec1</v>
      </c>
    </row>
    <row r="173" spans="1:21" x14ac:dyDescent="0.3">
      <c r="A173" s="21" t="s">
        <v>2616</v>
      </c>
      <c r="B173" s="21" t="str">
        <f>Table1[[#This Row],[Code]]&amp;" "&amp;Table1[[#This Row],[Portico_Specialty]]</f>
        <v>AltSpec1 CNS Dual 699</v>
      </c>
      <c r="C173" s="21" t="str">
        <f>CLEAN(Table1[[#This Row],[Code]])</f>
        <v>AltSpec1</v>
      </c>
      <c r="D173" s="1" t="s">
        <v>2679</v>
      </c>
      <c r="E173" s="1"/>
      <c r="F173" s="1" t="s">
        <v>2587</v>
      </c>
      <c r="G173" s="3" t="s">
        <v>2588</v>
      </c>
      <c r="H173" s="1"/>
      <c r="I173" s="1"/>
      <c r="J173" s="1"/>
      <c r="K173" s="1" t="s">
        <v>2680</v>
      </c>
      <c r="L173" s="1"/>
      <c r="M173" s="1"/>
      <c r="N173" s="1"/>
      <c r="O173" s="1"/>
      <c r="P173" s="9"/>
      <c r="R173" s="16">
        <f ca="1">IF(ISNUMBER(SEARCH(INDIRECT(CELL("address")),S173)),MAX($R$1:R172)+1,0)</f>
        <v>172</v>
      </c>
      <c r="S173" s="18" t="str">
        <f>Table1[[#This Row],[Portico_Specialty]]&amp;"-"&amp;Table1[[#This Row],[Code]]</f>
        <v>CNS Dual 699-AltSpec1</v>
      </c>
      <c r="U173" s="16" t="str">
        <f ca="1">IFERROR(VLOOKUP(ROWS($U$1:U172),$R$2:$S$918,2,FALSE),"")</f>
        <v>CNS Dual 699-AltSpec1</v>
      </c>
    </row>
    <row r="174" spans="1:21" x14ac:dyDescent="0.3">
      <c r="A174" s="21" t="s">
        <v>981</v>
      </c>
      <c r="B174" s="21" t="str">
        <f>Table1[[#This Row],[Code]]&amp;" "&amp;Table1[[#This Row],[Portico_Specialty]]</f>
        <v>208C00000X Colon &amp; Rectal Surgery</v>
      </c>
      <c r="C174" s="21" t="str">
        <f>CLEAN(Table1[[#This Row],[Code]])</f>
        <v>208C00000X</v>
      </c>
      <c r="D174" s="1" t="s">
        <v>982</v>
      </c>
      <c r="E174" s="1"/>
      <c r="F174" s="1" t="s">
        <v>2587</v>
      </c>
      <c r="G174" s="4" t="s">
        <v>2593</v>
      </c>
      <c r="H174" s="1" t="s">
        <v>2681</v>
      </c>
      <c r="I174" s="1"/>
      <c r="J174" s="1" t="s">
        <v>2681</v>
      </c>
      <c r="K174" s="1" t="s">
        <v>2681</v>
      </c>
      <c r="L174" s="1" t="s">
        <v>2681</v>
      </c>
      <c r="M174" s="1" t="s">
        <v>2681</v>
      </c>
      <c r="N174" s="1" t="s">
        <v>2681</v>
      </c>
      <c r="O174" s="1" t="s">
        <v>2681</v>
      </c>
      <c r="P174" s="9"/>
      <c r="R174" s="16">
        <f ca="1">IF(ISNUMBER(SEARCH(INDIRECT(CELL("address")),S174)),MAX($R$1:R173)+1,0)</f>
        <v>173</v>
      </c>
      <c r="S174" s="18" t="str">
        <f>Table1[[#This Row],[Portico_Specialty]]&amp;"-"&amp;Table1[[#This Row],[Code]]</f>
        <v>Colon &amp; Rectal Surgery-208C00000X</v>
      </c>
      <c r="U174" s="16" t="str">
        <f ca="1">IFERROR(VLOOKUP(ROWS($U$1:U173),$R$2:$S$918,2,FALSE),"")</f>
        <v>Colon &amp; Rectal Surgery-208C00000X</v>
      </c>
    </row>
    <row r="175" spans="1:21" ht="30.75" x14ac:dyDescent="0.3">
      <c r="A175" s="21" t="s">
        <v>1577</v>
      </c>
      <c r="B175" s="21" t="str">
        <f>Table1[[#This Row],[Code]]&amp;" "&amp;Table1[[#This Row],[Portico_Specialty]]</f>
        <v>320800000X Community Based Residential Treatment Facility, Mental Illness</v>
      </c>
      <c r="C175" s="21" t="str">
        <f>CLEAN(Table1[[#This Row],[Code]])</f>
        <v>320800000X</v>
      </c>
      <c r="D175" s="1" t="s">
        <v>1578</v>
      </c>
      <c r="E175" s="1"/>
      <c r="F175" s="1" t="s">
        <v>2607</v>
      </c>
      <c r="G175" s="3" t="s">
        <v>2588</v>
      </c>
      <c r="H175" s="1" t="s">
        <v>2621</v>
      </c>
      <c r="I175" s="1"/>
      <c r="J175" s="1" t="s">
        <v>2621</v>
      </c>
      <c r="K175" s="1" t="s">
        <v>2621</v>
      </c>
      <c r="L175" s="1" t="s">
        <v>2622</v>
      </c>
      <c r="M175" s="1" t="s">
        <v>2661</v>
      </c>
      <c r="N175" s="1" t="s">
        <v>2621</v>
      </c>
      <c r="O175" s="1" t="s">
        <v>2621</v>
      </c>
      <c r="P175" s="9"/>
      <c r="R175" s="16">
        <f ca="1">IF(ISNUMBER(SEARCH(INDIRECT(CELL("address")),S175)),MAX($R$1:R174)+1,0)</f>
        <v>174</v>
      </c>
      <c r="S175" s="18" t="str">
        <f>Table1[[#This Row],[Portico_Specialty]]&amp;"-"&amp;Table1[[#This Row],[Code]]</f>
        <v>Community Based Residential Treatment Facility, Mental Illness-320800000X</v>
      </c>
      <c r="U175" s="16" t="str">
        <f ca="1">IFERROR(VLOOKUP(ROWS($U$1:U174),$R$2:$S$918,2,FALSE),"")</f>
        <v>Community Based Residential Treatment Facility, Mental Illness-320800000X</v>
      </c>
    </row>
    <row r="176" spans="1:21" ht="45.75" x14ac:dyDescent="0.3">
      <c r="A176" s="21" t="s">
        <v>1579</v>
      </c>
      <c r="B176" s="21" t="str">
        <f>Table1[[#This Row],[Code]]&amp;" "&amp;Table1[[#This Row],[Portico_Specialty]]</f>
        <v>320900000X Community Based Residential Treatment, Mental Retardation and/or Developmental Disabilities</v>
      </c>
      <c r="C176" s="21" t="str">
        <f>CLEAN(Table1[[#This Row],[Code]])</f>
        <v>320900000X</v>
      </c>
      <c r="D176" s="1" t="s">
        <v>1580</v>
      </c>
      <c r="E176" s="1"/>
      <c r="F176" s="1" t="s">
        <v>2607</v>
      </c>
      <c r="G176" s="3" t="s">
        <v>2588</v>
      </c>
      <c r="H176" s="1" t="s">
        <v>2621</v>
      </c>
      <c r="I176" s="1"/>
      <c r="J176" s="1" t="s">
        <v>2621</v>
      </c>
      <c r="K176" s="1" t="s">
        <v>2621</v>
      </c>
      <c r="L176" s="1" t="s">
        <v>2622</v>
      </c>
      <c r="M176" s="1" t="s">
        <v>2661</v>
      </c>
      <c r="N176" s="1" t="s">
        <v>2621</v>
      </c>
      <c r="O176" s="1" t="s">
        <v>2621</v>
      </c>
      <c r="P176" s="9"/>
      <c r="R176" s="16">
        <f ca="1">IF(ISNUMBER(SEARCH(INDIRECT(CELL("address")),S176)),MAX($R$1:R175)+1,0)</f>
        <v>175</v>
      </c>
      <c r="S176" s="18" t="str">
        <f>Table1[[#This Row],[Portico_Specialty]]&amp;"-"&amp;Table1[[#This Row],[Code]]</f>
        <v>Community Based Residential Treatment, Mental Retardation and/or Developmental Disabilities-320900000X</v>
      </c>
      <c r="U176" s="16" t="str">
        <f ca="1">IFERROR(VLOOKUP(ROWS($U$1:U175),$R$2:$S$918,2,FALSE),"")</f>
        <v>Community Based Residential Treatment, Mental Retardation and/or Developmental Disabilities-320900000X</v>
      </c>
    </row>
    <row r="177" spans="1:21" x14ac:dyDescent="0.3">
      <c r="A177" s="21" t="s">
        <v>469</v>
      </c>
      <c r="B177" s="21" t="str">
        <f>Table1[[#This Row],[Code]]&amp;" "&amp;Table1[[#This Row],[Portico_Specialty]]</f>
        <v>172V00000X Community Health Worker</v>
      </c>
      <c r="C177" s="21" t="str">
        <f>CLEAN(Table1[[#This Row],[Code]])</f>
        <v>172V00000X</v>
      </c>
      <c r="D177" s="1" t="s">
        <v>470</v>
      </c>
      <c r="E177" s="1"/>
      <c r="F177" s="1" t="s">
        <v>2587</v>
      </c>
      <c r="G177" s="3" t="s">
        <v>2588</v>
      </c>
      <c r="H177" s="1"/>
      <c r="I177" s="1"/>
      <c r="J177" s="1" t="s">
        <v>2590</v>
      </c>
      <c r="K177" s="1" t="s">
        <v>2682</v>
      </c>
      <c r="L177" s="1" t="s">
        <v>2615</v>
      </c>
      <c r="M177" s="1" t="s">
        <v>2615</v>
      </c>
      <c r="N177" s="1"/>
      <c r="O177" s="1" t="s">
        <v>2682</v>
      </c>
      <c r="P177" s="9"/>
      <c r="R177" s="16">
        <f ca="1">IF(ISNUMBER(SEARCH(INDIRECT(CELL("address")),S177)),MAX($R$1:R176)+1,0)</f>
        <v>176</v>
      </c>
      <c r="S177" s="18" t="str">
        <f>Table1[[#This Row],[Portico_Specialty]]&amp;"-"&amp;Table1[[#This Row],[Code]]</f>
        <v>Community Health Worker-172V00000X</v>
      </c>
      <c r="U177" s="16" t="str">
        <f ca="1">IFERROR(VLOOKUP(ROWS($U$1:U176),$R$2:$S$918,2,FALSE),"")</f>
        <v>Community Health Worker-172V00000X</v>
      </c>
    </row>
    <row r="178" spans="1:21" x14ac:dyDescent="0.3">
      <c r="A178" s="21" t="s">
        <v>1345</v>
      </c>
      <c r="B178" s="21" t="str">
        <f>Table1[[#This Row],[Code]]&amp;" "&amp;Table1[[#This Row],[Portico_Specialty]]</f>
        <v>251S00000X Community/Behavioral Health</v>
      </c>
      <c r="C178" s="21" t="str">
        <f>CLEAN(Table1[[#This Row],[Code]])</f>
        <v>251S00000X</v>
      </c>
      <c r="D178" s="1" t="s">
        <v>1346</v>
      </c>
      <c r="E178" s="1"/>
      <c r="F178" s="1" t="s">
        <v>2607</v>
      </c>
      <c r="G178" s="3" t="s">
        <v>2588</v>
      </c>
      <c r="H178" s="1" t="s">
        <v>2621</v>
      </c>
      <c r="I178" s="1"/>
      <c r="J178" s="1" t="s">
        <v>2621</v>
      </c>
      <c r="K178" s="1" t="s">
        <v>2622</v>
      </c>
      <c r="L178" s="1" t="s">
        <v>2622</v>
      </c>
      <c r="M178" s="1" t="s">
        <v>2621</v>
      </c>
      <c r="N178" s="1" t="s">
        <v>2621</v>
      </c>
      <c r="O178" s="1" t="s">
        <v>2622</v>
      </c>
      <c r="P178" s="9"/>
      <c r="R178" s="16">
        <f ca="1">IF(ISNUMBER(SEARCH(INDIRECT(CELL("address")),S178)),MAX($R$1:R177)+1,0)</f>
        <v>177</v>
      </c>
      <c r="S178" s="18" t="str">
        <f>Table1[[#This Row],[Portico_Specialty]]&amp;"-"&amp;Table1[[#This Row],[Code]]</f>
        <v>Community/Behavioral Health-251S00000X</v>
      </c>
      <c r="U178" s="16" t="str">
        <f ca="1">IFERROR(VLOOKUP(ROWS($U$1:U177),$R$2:$S$918,2,FALSE),"")</f>
        <v>Community/Behavioral Health-251S00000X</v>
      </c>
    </row>
    <row r="179" spans="1:21" x14ac:dyDescent="0.3">
      <c r="A179" s="21" t="s">
        <v>457</v>
      </c>
      <c r="B179" s="21" t="str">
        <f>Table1[[#This Row],[Code]]&amp;" "&amp;Table1[[#This Row],[Portico_Specialty]]</f>
        <v>171W00000X Contractor: Financial Services</v>
      </c>
      <c r="C179" s="21" t="str">
        <f>CLEAN(Table1[[#This Row],[Code]])</f>
        <v>171W00000X</v>
      </c>
      <c r="D179" s="1" t="s">
        <v>458</v>
      </c>
      <c r="E179" s="1"/>
      <c r="F179" s="1" t="s">
        <v>2587</v>
      </c>
      <c r="G179" s="3" t="s">
        <v>2588</v>
      </c>
      <c r="H179" s="1" t="s">
        <v>2615</v>
      </c>
      <c r="I179" s="1"/>
      <c r="J179" s="1" t="s">
        <v>2590</v>
      </c>
      <c r="K179" s="1" t="s">
        <v>2590</v>
      </c>
      <c r="L179" s="1" t="s">
        <v>2615</v>
      </c>
      <c r="M179" s="1" t="s">
        <v>2615</v>
      </c>
      <c r="N179" s="1" t="s">
        <v>2615</v>
      </c>
      <c r="O179" s="1" t="s">
        <v>2590</v>
      </c>
      <c r="P179" s="9"/>
      <c r="R179" s="16">
        <f ca="1">IF(ISNUMBER(SEARCH(INDIRECT(CELL("address")),S179)),MAX($R$1:R178)+1,0)</f>
        <v>178</v>
      </c>
      <c r="S179" s="18" t="str">
        <f>Table1[[#This Row],[Portico_Specialty]]&amp;"-"&amp;Table1[[#This Row],[Code]]</f>
        <v>Contractor: Financial Services-171W00000X</v>
      </c>
      <c r="U179" s="16" t="str">
        <f ca="1">IFERROR(VLOOKUP(ROWS($U$1:U178),$R$2:$S$918,2,FALSE),"")</f>
        <v>Contractor: Financial Services-171W00000X</v>
      </c>
    </row>
    <row r="180" spans="1:21" x14ac:dyDescent="0.3">
      <c r="A180" s="21" t="s">
        <v>459</v>
      </c>
      <c r="B180" s="21" t="str">
        <f>Table1[[#This Row],[Code]]&amp;" "&amp;Table1[[#This Row],[Portico_Specialty]]</f>
        <v>171WH0202X Contractor: Home Modifications</v>
      </c>
      <c r="C180" s="21" t="str">
        <f>CLEAN(Table1[[#This Row],[Code]])</f>
        <v>171WH0202X</v>
      </c>
      <c r="D180" s="1" t="s">
        <v>460</v>
      </c>
      <c r="E180" s="1"/>
      <c r="F180" s="1" t="s">
        <v>2587</v>
      </c>
      <c r="G180" s="3" t="s">
        <v>2588</v>
      </c>
      <c r="H180" s="1" t="s">
        <v>2615</v>
      </c>
      <c r="I180" s="1"/>
      <c r="J180" s="1" t="s">
        <v>2590</v>
      </c>
      <c r="K180" s="1" t="s">
        <v>2590</v>
      </c>
      <c r="L180" s="1" t="s">
        <v>2621</v>
      </c>
      <c r="M180" s="1" t="s">
        <v>2615</v>
      </c>
      <c r="N180" s="1" t="s">
        <v>2615</v>
      </c>
      <c r="O180" s="1" t="s">
        <v>2590</v>
      </c>
      <c r="P180" s="9"/>
      <c r="R180" s="16">
        <f ca="1">IF(ISNUMBER(SEARCH(INDIRECT(CELL("address")),S180)),MAX($R$1:R179)+1,0)</f>
        <v>179</v>
      </c>
      <c r="S180" s="18" t="str">
        <f>Table1[[#This Row],[Portico_Specialty]]&amp;"-"&amp;Table1[[#This Row],[Code]]</f>
        <v>Contractor: Home Modifications-171WH0202X</v>
      </c>
      <c r="U180" s="16" t="str">
        <f ca="1">IFERROR(VLOOKUP(ROWS($U$1:U179),$R$2:$S$918,2,FALSE),"")</f>
        <v>Contractor: Home Modifications-171WH0202X</v>
      </c>
    </row>
    <row r="181" spans="1:21" x14ac:dyDescent="0.3">
      <c r="A181" s="21" t="s">
        <v>461</v>
      </c>
      <c r="B181" s="21" t="str">
        <f>Table1[[#This Row],[Code]]&amp;" "&amp;Table1[[#This Row],[Portico_Specialty]]</f>
        <v>171WV0202X Contractor: Vehicle Modifications</v>
      </c>
      <c r="C181" s="21" t="str">
        <f>CLEAN(Table1[[#This Row],[Code]])</f>
        <v>171WV0202X</v>
      </c>
      <c r="D181" s="1" t="s">
        <v>462</v>
      </c>
      <c r="E181" s="1"/>
      <c r="F181" s="1" t="s">
        <v>2587</v>
      </c>
      <c r="G181" s="3" t="s">
        <v>2588</v>
      </c>
      <c r="H181" s="1" t="s">
        <v>2615</v>
      </c>
      <c r="I181" s="1"/>
      <c r="J181" s="1" t="s">
        <v>2590</v>
      </c>
      <c r="K181" s="1" t="s">
        <v>2590</v>
      </c>
      <c r="L181" s="1"/>
      <c r="M181" s="1" t="s">
        <v>2615</v>
      </c>
      <c r="N181" s="1"/>
      <c r="O181" s="1" t="s">
        <v>2590</v>
      </c>
      <c r="P181" s="9"/>
      <c r="R181" s="16">
        <f ca="1">IF(ISNUMBER(SEARCH(INDIRECT(CELL("address")),S181)),MAX($R$1:R180)+1,0)</f>
        <v>180</v>
      </c>
      <c r="S181" s="18" t="str">
        <f>Table1[[#This Row],[Portico_Specialty]]&amp;"-"&amp;Table1[[#This Row],[Code]]</f>
        <v>Contractor: Vehicle Modifications-171WV0202X</v>
      </c>
      <c r="U181" s="16" t="str">
        <f ca="1">IFERROR(VLOOKUP(ROWS($U$1:U180),$R$2:$S$918,2,FALSE),"")</f>
        <v>Contractor: Vehicle Modifications-171WV0202X</v>
      </c>
    </row>
    <row r="182" spans="1:21" x14ac:dyDescent="0.3">
      <c r="A182" s="21" t="s">
        <v>121</v>
      </c>
      <c r="B182" s="21" t="str">
        <f>Table1[[#This Row],[Code]]&amp;" "&amp;Table1[[#This Row],[Portico_Specialty]]</f>
        <v>101Y00000X Counselor</v>
      </c>
      <c r="C182" s="21" t="str">
        <f>CLEAN(Table1[[#This Row],[Code]])</f>
        <v>101Y00000X</v>
      </c>
      <c r="D182" s="1" t="s">
        <v>122</v>
      </c>
      <c r="E182" s="1"/>
      <c r="F182" s="1" t="s">
        <v>2607</v>
      </c>
      <c r="G182" s="3" t="s">
        <v>2588</v>
      </c>
      <c r="H182" s="1" t="s">
        <v>2683</v>
      </c>
      <c r="I182" s="1"/>
      <c r="J182" s="1" t="s">
        <v>2612</v>
      </c>
      <c r="K182" s="1" t="s">
        <v>2612</v>
      </c>
      <c r="L182" s="1" t="s">
        <v>2612</v>
      </c>
      <c r="M182" s="1" t="s">
        <v>2683</v>
      </c>
      <c r="N182" s="1" t="s">
        <v>2612</v>
      </c>
      <c r="O182" s="1" t="s">
        <v>2612</v>
      </c>
      <c r="P182" s="9"/>
      <c r="R182" s="16">
        <f ca="1">IF(ISNUMBER(SEARCH(INDIRECT(CELL("address")),S182)),MAX($R$1:R181)+1,0)</f>
        <v>181</v>
      </c>
      <c r="S182" s="18" t="str">
        <f>Table1[[#This Row],[Portico_Specialty]]&amp;"-"&amp;Table1[[#This Row],[Code]]</f>
        <v>Counselor-101Y00000X</v>
      </c>
      <c r="U182" s="16" t="str">
        <f ca="1">IFERROR(VLOOKUP(ROWS($U$1:U181),$R$2:$S$918,2,FALSE),"")</f>
        <v>Counselor-101Y00000X</v>
      </c>
    </row>
    <row r="183" spans="1:21" x14ac:dyDescent="0.3">
      <c r="A183" s="21" t="s">
        <v>2616</v>
      </c>
      <c r="B183" s="21" t="str">
        <f>Table1[[#This Row],[Code]]&amp;" "&amp;Table1[[#This Row],[Portico_Specialty]]</f>
        <v>AltSpec1 Counselor Trainee - HCBS</v>
      </c>
      <c r="C183" s="21" t="str">
        <f>CLEAN(Table1[[#This Row],[Code]])</f>
        <v>AltSpec1</v>
      </c>
      <c r="D183" s="1" t="s">
        <v>2684</v>
      </c>
      <c r="E183" s="1"/>
      <c r="F183" s="1" t="s">
        <v>2587</v>
      </c>
      <c r="G183" s="3" t="s">
        <v>2588</v>
      </c>
      <c r="H183" s="1"/>
      <c r="I183" s="1"/>
      <c r="J183" s="1"/>
      <c r="K183" s="1" t="s">
        <v>2685</v>
      </c>
      <c r="L183" s="1"/>
      <c r="M183" s="1"/>
      <c r="N183" s="1"/>
      <c r="O183" s="1"/>
      <c r="P183" s="9"/>
      <c r="R183" s="16">
        <f ca="1">IF(ISNUMBER(SEARCH(INDIRECT(CELL("address")),S183)),MAX($R$1:R182)+1,0)</f>
        <v>182</v>
      </c>
      <c r="S183" s="18" t="str">
        <f>Table1[[#This Row],[Portico_Specialty]]&amp;"-"&amp;Table1[[#This Row],[Code]]</f>
        <v>Counselor Trainee - HCBS-AltSpec1</v>
      </c>
      <c r="U183" s="16" t="str">
        <f ca="1">IFERROR(VLOOKUP(ROWS($U$1:U182),$R$2:$S$918,2,FALSE),"")</f>
        <v>Counselor Trainee - HCBS-AltSpec1</v>
      </c>
    </row>
    <row r="184" spans="1:21" x14ac:dyDescent="0.3">
      <c r="A184" s="21" t="s">
        <v>2616</v>
      </c>
      <c r="B184" s="21" t="str">
        <f>Table1[[#This Row],[Code]]&amp;" "&amp;Table1[[#This Row],[Portico_Specialty]]</f>
        <v>AltSpec1 Counselor Trainee Dual 399</v>
      </c>
      <c r="C184" s="21" t="str">
        <f>CLEAN(Table1[[#This Row],[Code]])</f>
        <v>AltSpec1</v>
      </c>
      <c r="D184" s="1" t="s">
        <v>2686</v>
      </c>
      <c r="E184" s="1"/>
      <c r="F184" s="1" t="s">
        <v>2587</v>
      </c>
      <c r="G184" s="3" t="s">
        <v>2588</v>
      </c>
      <c r="H184" s="1"/>
      <c r="I184" s="1"/>
      <c r="J184" s="1"/>
      <c r="K184" s="1" t="s">
        <v>2687</v>
      </c>
      <c r="L184" s="1"/>
      <c r="M184" s="1"/>
      <c r="N184" s="1"/>
      <c r="O184" s="1"/>
      <c r="P184" s="9"/>
      <c r="R184" s="16">
        <f ca="1">IF(ISNUMBER(SEARCH(INDIRECT(CELL("address")),S184)),MAX($R$1:R183)+1,0)</f>
        <v>183</v>
      </c>
      <c r="S184" s="18" t="str">
        <f>Table1[[#This Row],[Portico_Specialty]]&amp;"-"&amp;Table1[[#This Row],[Code]]</f>
        <v>Counselor Trainee Dual 399-AltSpec1</v>
      </c>
      <c r="U184" s="16" t="str">
        <f ca="1">IFERROR(VLOOKUP(ROWS($U$1:U183),$R$2:$S$918,2,FALSE),"")</f>
        <v>Counselor Trainee Dual 399-AltSpec1</v>
      </c>
    </row>
    <row r="185" spans="1:21" x14ac:dyDescent="0.3">
      <c r="A185" s="21" t="s">
        <v>2616</v>
      </c>
      <c r="B185" s="21" t="str">
        <f>Table1[[#This Row],[Code]]&amp;" "&amp;Table1[[#This Row],[Portico_Specialty]]</f>
        <v>AltSpec1 Counselor Trainee Dual 699</v>
      </c>
      <c r="C185" s="21" t="str">
        <f>CLEAN(Table1[[#This Row],[Code]])</f>
        <v>AltSpec1</v>
      </c>
      <c r="D185" s="1" t="s">
        <v>2688</v>
      </c>
      <c r="E185" s="1"/>
      <c r="F185" s="1" t="s">
        <v>2587</v>
      </c>
      <c r="G185" s="3" t="s">
        <v>2588</v>
      </c>
      <c r="H185" s="1"/>
      <c r="I185" s="1"/>
      <c r="J185" s="1"/>
      <c r="K185" s="1" t="s">
        <v>2689</v>
      </c>
      <c r="L185" s="1"/>
      <c r="M185" s="1"/>
      <c r="N185" s="1"/>
      <c r="O185" s="1"/>
      <c r="P185" s="9"/>
      <c r="R185" s="16">
        <f ca="1">IF(ISNUMBER(SEARCH(INDIRECT(CELL("address")),S185)),MAX($R$1:R184)+1,0)</f>
        <v>184</v>
      </c>
      <c r="S185" s="18" t="str">
        <f>Table1[[#This Row],[Portico_Specialty]]&amp;"-"&amp;Table1[[#This Row],[Code]]</f>
        <v>Counselor Trainee Dual 699-AltSpec1</v>
      </c>
      <c r="U185" s="16" t="str">
        <f ca="1">IFERROR(VLOOKUP(ROWS($U$1:U184),$R$2:$S$918,2,FALSE),"")</f>
        <v>Counselor Trainee Dual 699-AltSpec1</v>
      </c>
    </row>
    <row r="186" spans="1:21" ht="30.75" x14ac:dyDescent="0.3">
      <c r="A186" s="21" t="s">
        <v>123</v>
      </c>
      <c r="B186" s="21" t="str">
        <f>Table1[[#This Row],[Code]]&amp;" "&amp;Table1[[#This Row],[Portico_Specialty]]</f>
        <v>101YA0400X Counselor: Addiction (Substance Use Disorder)</v>
      </c>
      <c r="C186" s="21" t="str">
        <f>CLEAN(Table1[[#This Row],[Code]])</f>
        <v>101YA0400X</v>
      </c>
      <c r="D186" s="1" t="s">
        <v>124</v>
      </c>
      <c r="E186" s="1"/>
      <c r="F186" s="1" t="s">
        <v>2607</v>
      </c>
      <c r="G186" s="3" t="s">
        <v>2588</v>
      </c>
      <c r="H186" s="1" t="s">
        <v>2683</v>
      </c>
      <c r="I186" s="1"/>
      <c r="J186" s="1" t="s">
        <v>2683</v>
      </c>
      <c r="K186" s="1" t="s">
        <v>2612</v>
      </c>
      <c r="L186" s="1" t="s">
        <v>2612</v>
      </c>
      <c r="M186" s="1" t="s">
        <v>2683</v>
      </c>
      <c r="N186" s="1" t="s">
        <v>2612</v>
      </c>
      <c r="O186" s="1" t="s">
        <v>2612</v>
      </c>
      <c r="P186" s="9"/>
      <c r="R186" s="16">
        <f ca="1">IF(ISNUMBER(SEARCH(INDIRECT(CELL("address")),S186)),MAX($R$1:R185)+1,0)</f>
        <v>185</v>
      </c>
      <c r="S186" s="18" t="str">
        <f>Table1[[#This Row],[Portico_Specialty]]&amp;"-"&amp;Table1[[#This Row],[Code]]</f>
        <v>Counselor: Addiction (Substance Use Disorder)-101YA0400X</v>
      </c>
      <c r="U186" s="16" t="str">
        <f ca="1">IFERROR(VLOOKUP(ROWS($U$1:U185),$R$2:$S$918,2,FALSE),"")</f>
        <v>Counselor: Addiction (Substance Use Disorder)-101YA0400X</v>
      </c>
    </row>
    <row r="187" spans="1:21" x14ac:dyDescent="0.3">
      <c r="A187" s="21" t="s">
        <v>125</v>
      </c>
      <c r="B187" s="21" t="str">
        <f>Table1[[#This Row],[Code]]&amp;" "&amp;Table1[[#This Row],[Portico_Specialty]]</f>
        <v>101YM0800X Counselor: Mental Health</v>
      </c>
      <c r="C187" s="21" t="str">
        <f>CLEAN(Table1[[#This Row],[Code]])</f>
        <v>101YM0800X</v>
      </c>
      <c r="D187" s="8" t="s">
        <v>126</v>
      </c>
      <c r="E187" s="1" t="s">
        <v>2690</v>
      </c>
      <c r="F187" s="1" t="s">
        <v>2607</v>
      </c>
      <c r="G187" s="3" t="s">
        <v>2588</v>
      </c>
      <c r="H187" s="1" t="s">
        <v>2612</v>
      </c>
      <c r="I187" s="1"/>
      <c r="J187" s="1" t="s">
        <v>2612</v>
      </c>
      <c r="K187" s="1" t="s">
        <v>2612</v>
      </c>
      <c r="L187" s="1" t="s">
        <v>2612</v>
      </c>
      <c r="M187" s="1" t="s">
        <v>2683</v>
      </c>
      <c r="N187" s="1" t="s">
        <v>2612</v>
      </c>
      <c r="O187" s="1" t="s">
        <v>2612</v>
      </c>
      <c r="P187" s="9"/>
      <c r="R187" s="16">
        <f ca="1">IF(ISNUMBER(SEARCH(INDIRECT(CELL("address")),S187)),MAX($R$1:R186)+1,0)</f>
        <v>186</v>
      </c>
      <c r="S187" s="18" t="str">
        <f>Table1[[#This Row],[Portico_Specialty]]&amp;"-"&amp;Table1[[#This Row],[Code]]</f>
        <v>Counselor: Mental Health-101YM0800X</v>
      </c>
      <c r="U187" s="16" t="str">
        <f ca="1">IFERROR(VLOOKUP(ROWS($U$1:U186),$R$2:$S$918,2,FALSE),"")</f>
        <v>Counselor: Mental Health-101YM0800X</v>
      </c>
    </row>
    <row r="188" spans="1:21" x14ac:dyDescent="0.3">
      <c r="A188" s="21" t="s">
        <v>127</v>
      </c>
      <c r="B188" s="21" t="str">
        <f>Table1[[#This Row],[Code]]&amp;" "&amp;Table1[[#This Row],[Portico_Specialty]]</f>
        <v>101YP1600X Counselor: Pastoral</v>
      </c>
      <c r="C188" s="21" t="str">
        <f>CLEAN(Table1[[#This Row],[Code]])</f>
        <v>101YP1600X</v>
      </c>
      <c r="D188" s="1" t="s">
        <v>128</v>
      </c>
      <c r="E188" s="1"/>
      <c r="F188" s="1" t="s">
        <v>2607</v>
      </c>
      <c r="G188" s="3" t="s">
        <v>2588</v>
      </c>
      <c r="H188" s="1" t="s">
        <v>2683</v>
      </c>
      <c r="I188" s="1"/>
      <c r="J188" s="1" t="s">
        <v>2612</v>
      </c>
      <c r="K188" s="1" t="s">
        <v>2612</v>
      </c>
      <c r="L188" s="1" t="s">
        <v>2612</v>
      </c>
      <c r="M188" s="1" t="s">
        <v>2683</v>
      </c>
      <c r="N188" s="1"/>
      <c r="O188" s="1" t="s">
        <v>2612</v>
      </c>
      <c r="P188" s="9"/>
      <c r="R188" s="16">
        <f ca="1">IF(ISNUMBER(SEARCH(INDIRECT(CELL("address")),S188)),MAX($R$1:R187)+1,0)</f>
        <v>187</v>
      </c>
      <c r="S188" s="18" t="str">
        <f>Table1[[#This Row],[Portico_Specialty]]&amp;"-"&amp;Table1[[#This Row],[Code]]</f>
        <v>Counselor: Pastoral-101YP1600X</v>
      </c>
      <c r="U188" s="16" t="str">
        <f ca="1">IFERROR(VLOOKUP(ROWS($U$1:U187),$R$2:$S$918,2,FALSE),"")</f>
        <v>Counselor: Pastoral-101YP1600X</v>
      </c>
    </row>
    <row r="189" spans="1:21" x14ac:dyDescent="0.3">
      <c r="A189" s="21" t="s">
        <v>129</v>
      </c>
      <c r="B189" s="21" t="str">
        <f>Table1[[#This Row],[Code]]&amp;" "&amp;Table1[[#This Row],[Portico_Specialty]]</f>
        <v>101YP2500X Counselor: Professional</v>
      </c>
      <c r="C189" s="21" t="str">
        <f>CLEAN(Table1[[#This Row],[Code]])</f>
        <v>101YP2500X</v>
      </c>
      <c r="D189" s="1" t="s">
        <v>130</v>
      </c>
      <c r="E189" s="1" t="s">
        <v>2690</v>
      </c>
      <c r="F189" s="1" t="s">
        <v>2607</v>
      </c>
      <c r="G189" s="3" t="s">
        <v>2588</v>
      </c>
      <c r="H189" s="1" t="s">
        <v>2612</v>
      </c>
      <c r="I189" s="1"/>
      <c r="J189" s="1" t="s">
        <v>2612</v>
      </c>
      <c r="K189" s="1" t="s">
        <v>2612</v>
      </c>
      <c r="L189" s="1" t="s">
        <v>2612</v>
      </c>
      <c r="M189" s="1" t="s">
        <v>2683</v>
      </c>
      <c r="N189" s="1" t="s">
        <v>2612</v>
      </c>
      <c r="O189" s="1" t="s">
        <v>2612</v>
      </c>
      <c r="P189" s="9"/>
      <c r="R189" s="16">
        <f ca="1">IF(ISNUMBER(SEARCH(INDIRECT(CELL("address")),S189)),MAX($R$1:R188)+1,0)</f>
        <v>188</v>
      </c>
      <c r="S189" s="18" t="str">
        <f>Table1[[#This Row],[Portico_Specialty]]&amp;"-"&amp;Table1[[#This Row],[Code]]</f>
        <v>Counselor: Professional-101YP2500X</v>
      </c>
      <c r="U189" s="16" t="str">
        <f ca="1">IFERROR(VLOOKUP(ROWS($U$1:U188),$R$2:$S$918,2,FALSE),"")</f>
        <v>Counselor: Professional-101YP2500X</v>
      </c>
    </row>
    <row r="190" spans="1:21" x14ac:dyDescent="0.3">
      <c r="A190" s="21" t="s">
        <v>131</v>
      </c>
      <c r="B190" s="21" t="str">
        <f>Table1[[#This Row],[Code]]&amp;" "&amp;Table1[[#This Row],[Portico_Specialty]]</f>
        <v>101YS0200X Counselor: School</v>
      </c>
      <c r="C190" s="21" t="str">
        <f>CLEAN(Table1[[#This Row],[Code]])</f>
        <v>101YS0200X</v>
      </c>
      <c r="D190" s="1" t="s">
        <v>132</v>
      </c>
      <c r="E190" s="1"/>
      <c r="F190" s="1" t="s">
        <v>2607</v>
      </c>
      <c r="G190" s="3" t="s">
        <v>2588</v>
      </c>
      <c r="H190" s="1" t="s">
        <v>2683</v>
      </c>
      <c r="I190" s="1"/>
      <c r="J190" s="1" t="s">
        <v>2612</v>
      </c>
      <c r="K190" s="1" t="s">
        <v>2612</v>
      </c>
      <c r="L190" s="1" t="s">
        <v>2683</v>
      </c>
      <c r="M190" s="1" t="s">
        <v>2683</v>
      </c>
      <c r="N190" s="1"/>
      <c r="O190" s="1" t="s">
        <v>2612</v>
      </c>
      <c r="P190" s="9"/>
      <c r="R190" s="16">
        <f ca="1">IF(ISNUMBER(SEARCH(INDIRECT(CELL("address")),S190)),MAX($R$1:R189)+1,0)</f>
        <v>189</v>
      </c>
      <c r="S190" s="18" t="str">
        <f>Table1[[#This Row],[Portico_Specialty]]&amp;"-"&amp;Table1[[#This Row],[Code]]</f>
        <v>Counselor: School-101YS0200X</v>
      </c>
      <c r="U190" s="16" t="str">
        <f ca="1">IFERROR(VLOOKUP(ROWS($U$1:U189),$R$2:$S$918,2,FALSE),"")</f>
        <v>Counselor: School-101YS0200X</v>
      </c>
    </row>
    <row r="191" spans="1:21" x14ac:dyDescent="0.3">
      <c r="A191" s="21" t="s">
        <v>1557</v>
      </c>
      <c r="B191" s="21" t="str">
        <f>Table1[[#This Row],[Code]]&amp;" "&amp;Table1[[#This Row],[Portico_Specialty]]</f>
        <v>311Z00000X Custodial Care Facility</v>
      </c>
      <c r="C191" s="21" t="str">
        <f>CLEAN(Table1[[#This Row],[Code]])</f>
        <v>311Z00000X</v>
      </c>
      <c r="D191" s="1" t="s">
        <v>1558</v>
      </c>
      <c r="E191" s="1"/>
      <c r="F191" s="1" t="s">
        <v>2587</v>
      </c>
      <c r="G191" s="3" t="s">
        <v>2588</v>
      </c>
      <c r="H191" s="1" t="s">
        <v>2598</v>
      </c>
      <c r="I191" s="1"/>
      <c r="J191" s="1" t="s">
        <v>2598</v>
      </c>
      <c r="K191" s="1" t="s">
        <v>2598</v>
      </c>
      <c r="L191" s="1" t="s">
        <v>2598</v>
      </c>
      <c r="M191" s="1" t="s">
        <v>2598</v>
      </c>
      <c r="N191" s="1" t="s">
        <v>2599</v>
      </c>
      <c r="O191" s="1" t="s">
        <v>2598</v>
      </c>
      <c r="P191" s="9"/>
      <c r="R191" s="16">
        <f ca="1">IF(ISNUMBER(SEARCH(INDIRECT(CELL("address")),S191)),MAX($R$1:R190)+1,0)</f>
        <v>190</v>
      </c>
      <c r="S191" s="18" t="str">
        <f>Table1[[#This Row],[Portico_Specialty]]&amp;"-"&amp;Table1[[#This Row],[Code]]</f>
        <v>Custodial Care Facility-311Z00000X</v>
      </c>
      <c r="U191" s="16" t="str">
        <f ca="1">IFERROR(VLOOKUP(ROWS($U$1:U190),$R$2:$S$918,2,FALSE),"")</f>
        <v>Custodial Care Facility-311Z00000X</v>
      </c>
    </row>
    <row r="192" spans="1:21" x14ac:dyDescent="0.3">
      <c r="A192" s="21" t="s">
        <v>1559</v>
      </c>
      <c r="B192" s="21" t="str">
        <f>Table1[[#This Row],[Code]]&amp;" "&amp;Table1[[#This Row],[Portico_Specialty]]</f>
        <v>311ZA0620X Custodial Care Facility: Adult Care Home</v>
      </c>
      <c r="C192" s="21" t="str">
        <f>CLEAN(Table1[[#This Row],[Code]])</f>
        <v>311ZA0620X</v>
      </c>
      <c r="D192" s="1" t="s">
        <v>1560</v>
      </c>
      <c r="E192" s="1"/>
      <c r="F192" s="1" t="s">
        <v>2587</v>
      </c>
      <c r="G192" s="3" t="s">
        <v>2588</v>
      </c>
      <c r="H192" s="1" t="s">
        <v>2598</v>
      </c>
      <c r="I192" s="1"/>
      <c r="J192" s="1" t="s">
        <v>2598</v>
      </c>
      <c r="K192" s="1" t="s">
        <v>2598</v>
      </c>
      <c r="L192" s="1" t="s">
        <v>2598</v>
      </c>
      <c r="M192" s="1" t="s">
        <v>2598</v>
      </c>
      <c r="N192" s="1" t="s">
        <v>2599</v>
      </c>
      <c r="O192" s="1" t="s">
        <v>2598</v>
      </c>
      <c r="P192" s="9"/>
      <c r="R192" s="16">
        <f ca="1">IF(ISNUMBER(SEARCH(INDIRECT(CELL("address")),S192)),MAX($R$1:R191)+1,0)</f>
        <v>191</v>
      </c>
      <c r="S192" s="18" t="str">
        <f>Table1[[#This Row],[Portico_Specialty]]&amp;"-"&amp;Table1[[#This Row],[Code]]</f>
        <v>Custodial Care Facility: Adult Care Home-311ZA0620X</v>
      </c>
      <c r="U192" s="16" t="str">
        <f ca="1">IFERROR(VLOOKUP(ROWS($U$1:U191),$R$2:$S$918,2,FALSE),"")</f>
        <v>Custodial Care Facility: Adult Care Home-311ZA0620X</v>
      </c>
    </row>
    <row r="193" spans="1:21" x14ac:dyDescent="0.3">
      <c r="A193" s="21" t="s">
        <v>1073</v>
      </c>
      <c r="B193" s="21" t="str">
        <f>Table1[[#This Row],[Code]]&amp;" "&amp;Table1[[#This Row],[Portico_Specialty]]</f>
        <v>225600000X Dance Therapist</v>
      </c>
      <c r="C193" s="21" t="str">
        <f>CLEAN(Table1[[#This Row],[Code]])</f>
        <v>225600000X</v>
      </c>
      <c r="D193" s="1" t="s">
        <v>1074</v>
      </c>
      <c r="E193" s="1"/>
      <c r="F193" s="1" t="s">
        <v>2587</v>
      </c>
      <c r="G193" s="3" t="s">
        <v>2588</v>
      </c>
      <c r="H193" s="1" t="s">
        <v>2600</v>
      </c>
      <c r="I193" s="1"/>
      <c r="J193" s="1" t="s">
        <v>2590</v>
      </c>
      <c r="K193" s="1" t="s">
        <v>2600</v>
      </c>
      <c r="L193" s="1" t="s">
        <v>2600</v>
      </c>
      <c r="M193" s="1"/>
      <c r="N193" s="1"/>
      <c r="O193" s="1" t="s">
        <v>2600</v>
      </c>
      <c r="P193" s="9"/>
      <c r="R193" s="16">
        <f ca="1">IF(ISNUMBER(SEARCH(INDIRECT(CELL("address")),S193)),MAX($R$1:R192)+1,0)</f>
        <v>192</v>
      </c>
      <c r="S193" s="18" t="str">
        <f>Table1[[#This Row],[Portico_Specialty]]&amp;"-"&amp;Table1[[#This Row],[Code]]</f>
        <v>Dance Therapist-225600000X</v>
      </c>
      <c r="U193" s="16" t="str">
        <f ca="1">IFERROR(VLOOKUP(ROWS($U$1:U192),$R$2:$S$918,2,FALSE),"")</f>
        <v>Dance Therapist-225600000X</v>
      </c>
    </row>
    <row r="194" spans="1:21" ht="30.75" x14ac:dyDescent="0.3">
      <c r="A194" s="21" t="s">
        <v>1333</v>
      </c>
      <c r="B194" s="21" t="str">
        <f>Table1[[#This Row],[Code]]&amp;" "&amp;Table1[[#This Row],[Portico_Specialty]]</f>
        <v>251C00000X Day Training, Developmentally Disabled Services</v>
      </c>
      <c r="C194" s="21" t="str">
        <f>CLEAN(Table1[[#This Row],[Code]])</f>
        <v>251C00000X</v>
      </c>
      <c r="D194" s="1" t="s">
        <v>1334</v>
      </c>
      <c r="E194" s="1"/>
      <c r="F194" s="1" t="s">
        <v>2587</v>
      </c>
      <c r="G194" s="3" t="s">
        <v>2588</v>
      </c>
      <c r="H194" s="1" t="s">
        <v>2591</v>
      </c>
      <c r="I194" s="1"/>
      <c r="J194" s="1" t="s">
        <v>2591</v>
      </c>
      <c r="K194" s="1" t="s">
        <v>2621</v>
      </c>
      <c r="L194" s="1" t="s">
        <v>2591</v>
      </c>
      <c r="M194" s="1" t="s">
        <v>2591</v>
      </c>
      <c r="N194" s="1" t="s">
        <v>2623</v>
      </c>
      <c r="O194" s="1" t="s">
        <v>2621</v>
      </c>
      <c r="P194" s="9"/>
      <c r="R194" s="16">
        <f ca="1">IF(ISNUMBER(SEARCH(INDIRECT(CELL("address")),S194)),MAX($R$1:R193)+1,0)</f>
        <v>193</v>
      </c>
      <c r="S194" s="18" t="str">
        <f>Table1[[#This Row],[Portico_Specialty]]&amp;"-"&amp;Table1[[#This Row],[Code]]</f>
        <v>Day Training, Developmentally Disabled Services-251C00000X</v>
      </c>
      <c r="U194" s="16" t="str">
        <f ca="1">IFERROR(VLOOKUP(ROWS($U$1:U193),$R$2:$S$918,2,FALSE),"")</f>
        <v>Day Training, Developmentally Disabled Services-251C00000X</v>
      </c>
    </row>
    <row r="195" spans="1:21" x14ac:dyDescent="0.3">
      <c r="A195" s="21" t="s">
        <v>1805</v>
      </c>
      <c r="B195" s="21" t="str">
        <f>Table1[[#This Row],[Code]]&amp;" "&amp;Table1[[#This Row],[Portico_Specialty]]</f>
        <v>373H00000X Day Training/Habilitation Specialist</v>
      </c>
      <c r="C195" s="21" t="str">
        <f>CLEAN(Table1[[#This Row],[Code]])</f>
        <v>373H00000X</v>
      </c>
      <c r="D195" s="1" t="s">
        <v>1806</v>
      </c>
      <c r="E195" s="1"/>
      <c r="F195" s="1" t="s">
        <v>2587</v>
      </c>
      <c r="G195" s="3" t="s">
        <v>2588</v>
      </c>
      <c r="H195" s="1" t="s">
        <v>2591</v>
      </c>
      <c r="I195" s="1"/>
      <c r="J195" s="1" t="s">
        <v>2590</v>
      </c>
      <c r="K195" s="1" t="s">
        <v>2590</v>
      </c>
      <c r="L195" s="1" t="s">
        <v>2591</v>
      </c>
      <c r="M195" s="1"/>
      <c r="N195" s="1"/>
      <c r="O195" s="1" t="s">
        <v>2590</v>
      </c>
      <c r="P195" s="9"/>
      <c r="R195" s="16">
        <f ca="1">IF(ISNUMBER(SEARCH(INDIRECT(CELL("address")),S195)),MAX($R$1:R194)+1,0)</f>
        <v>194</v>
      </c>
      <c r="S195" s="18" t="str">
        <f>Table1[[#This Row],[Portico_Specialty]]&amp;"-"&amp;Table1[[#This Row],[Code]]</f>
        <v>Day Training/Habilitation Specialist-373H00000X</v>
      </c>
      <c r="U195" s="16" t="str">
        <f ca="1">IFERROR(VLOOKUP(ROWS($U$1:U194),$R$2:$S$918,2,FALSE),"")</f>
        <v>Day Training/Habilitation Specialist-373H00000X</v>
      </c>
    </row>
    <row r="196" spans="1:21" x14ac:dyDescent="0.3">
      <c r="A196" s="21" t="s">
        <v>261</v>
      </c>
      <c r="B196" s="21" t="str">
        <f>Table1[[#This Row],[Code]]&amp;" "&amp;Table1[[#This Row],[Portico_Specialty]]</f>
        <v>126800000X Dental Assistant</v>
      </c>
      <c r="C196" s="21" t="str">
        <f>CLEAN(Table1[[#This Row],[Code]])</f>
        <v>126800000X</v>
      </c>
      <c r="D196" s="1" t="s">
        <v>262</v>
      </c>
      <c r="E196" s="1"/>
      <c r="F196" s="1" t="s">
        <v>2587</v>
      </c>
      <c r="G196" s="3" t="s">
        <v>2588</v>
      </c>
      <c r="H196" s="1"/>
      <c r="I196" s="1"/>
      <c r="J196" s="1" t="s">
        <v>2590</v>
      </c>
      <c r="K196" s="1" t="s">
        <v>2592</v>
      </c>
      <c r="L196" s="1"/>
      <c r="M196" s="1"/>
      <c r="N196" s="1"/>
      <c r="O196" s="1" t="s">
        <v>2592</v>
      </c>
      <c r="P196" s="9"/>
      <c r="R196" s="16">
        <f ca="1">IF(ISNUMBER(SEARCH(INDIRECT(CELL("address")),S196)),MAX($R$1:R195)+1,0)</f>
        <v>195</v>
      </c>
      <c r="S196" s="18" t="str">
        <f>Table1[[#This Row],[Portico_Specialty]]&amp;"-"&amp;Table1[[#This Row],[Code]]</f>
        <v>Dental Assistant-126800000X</v>
      </c>
      <c r="U196" s="16" t="str">
        <f ca="1">IFERROR(VLOOKUP(ROWS($U$1:U195),$R$2:$S$918,2,FALSE),"")</f>
        <v>Dental Assistant-126800000X</v>
      </c>
    </row>
    <row r="197" spans="1:21" x14ac:dyDescent="0.3">
      <c r="A197" s="21" t="s">
        <v>253</v>
      </c>
      <c r="B197" s="21" t="str">
        <f>Table1[[#This Row],[Code]]&amp;" "&amp;Table1[[#This Row],[Portico_Specialty]]</f>
        <v>124Q00000X Dental Hygienist</v>
      </c>
      <c r="C197" s="21" t="str">
        <f>CLEAN(Table1[[#This Row],[Code]])</f>
        <v>124Q00000X</v>
      </c>
      <c r="D197" s="1" t="s">
        <v>254</v>
      </c>
      <c r="E197" s="1"/>
      <c r="F197" s="1" t="s">
        <v>2587</v>
      </c>
      <c r="G197" s="3" t="s">
        <v>2588</v>
      </c>
      <c r="H197" s="1"/>
      <c r="I197" s="1"/>
      <c r="J197" s="1" t="s">
        <v>2590</v>
      </c>
      <c r="K197" s="1" t="s">
        <v>2592</v>
      </c>
      <c r="L197" s="1"/>
      <c r="M197" s="1"/>
      <c r="N197" s="1"/>
      <c r="O197" s="1" t="s">
        <v>2592</v>
      </c>
      <c r="P197" s="9"/>
      <c r="R197" s="16">
        <f ca="1">IF(ISNUMBER(SEARCH(INDIRECT(CELL("address")),S197)),MAX($R$1:R196)+1,0)</f>
        <v>196</v>
      </c>
      <c r="S197" s="18" t="str">
        <f>Table1[[#This Row],[Portico_Specialty]]&amp;"-"&amp;Table1[[#This Row],[Code]]</f>
        <v>Dental Hygienist-124Q00000X</v>
      </c>
      <c r="U197" s="16" t="str">
        <f ca="1">IFERROR(VLOOKUP(ROWS($U$1:U196),$R$2:$S$918,2,FALSE),"")</f>
        <v>Dental Hygienist-124Q00000X</v>
      </c>
    </row>
    <row r="198" spans="1:21" x14ac:dyDescent="0.3">
      <c r="A198" s="21" t="s">
        <v>1535</v>
      </c>
      <c r="B198" s="21" t="str">
        <f>Table1[[#This Row],[Code]]&amp;" "&amp;Table1[[#This Row],[Portico_Specialty]]</f>
        <v>292200000X Dental Laboratory</v>
      </c>
      <c r="C198" s="21" t="str">
        <f>CLEAN(Table1[[#This Row],[Code]])</f>
        <v>292200000X</v>
      </c>
      <c r="D198" s="1" t="s">
        <v>1536</v>
      </c>
      <c r="E198" s="1"/>
      <c r="F198" s="1" t="s">
        <v>2587</v>
      </c>
      <c r="G198" s="3" t="s">
        <v>2588</v>
      </c>
      <c r="H198" s="1" t="s">
        <v>2667</v>
      </c>
      <c r="I198" s="1"/>
      <c r="J198" s="1" t="s">
        <v>2667</v>
      </c>
      <c r="K198" s="1" t="s">
        <v>2667</v>
      </c>
      <c r="L198" s="1" t="s">
        <v>2667</v>
      </c>
      <c r="M198" s="1" t="s">
        <v>2667</v>
      </c>
      <c r="N198" s="1" t="s">
        <v>2667</v>
      </c>
      <c r="O198" s="1" t="s">
        <v>2667</v>
      </c>
      <c r="P198" s="9"/>
      <c r="R198" s="16">
        <f ca="1">IF(ISNUMBER(SEARCH(INDIRECT(CELL("address")),S198)),MAX($R$1:R197)+1,0)</f>
        <v>197</v>
      </c>
      <c r="S198" s="18" t="str">
        <f>Table1[[#This Row],[Portico_Specialty]]&amp;"-"&amp;Table1[[#This Row],[Code]]</f>
        <v>Dental Laboratory-292200000X</v>
      </c>
      <c r="U198" s="16" t="str">
        <f ca="1">IFERROR(VLOOKUP(ROWS($U$1:U197),$R$2:$S$918,2,FALSE),"")</f>
        <v>Dental Laboratory-292200000X</v>
      </c>
    </row>
    <row r="199" spans="1:21" x14ac:dyDescent="0.3">
      <c r="A199" s="21" t="s">
        <v>263</v>
      </c>
      <c r="B199" s="21" t="str">
        <f>Table1[[#This Row],[Code]]&amp;" "&amp;Table1[[#This Row],[Portico_Specialty]]</f>
        <v>126900000X Dental Laboratory Technician</v>
      </c>
      <c r="C199" s="21" t="str">
        <f>CLEAN(Table1[[#This Row],[Code]])</f>
        <v>126900000X</v>
      </c>
      <c r="D199" s="1" t="s">
        <v>264</v>
      </c>
      <c r="E199" s="1"/>
      <c r="F199" s="1" t="s">
        <v>2587</v>
      </c>
      <c r="G199" s="3" t="s">
        <v>2588</v>
      </c>
      <c r="H199" s="1"/>
      <c r="I199" s="1"/>
      <c r="J199" s="1" t="s">
        <v>2590</v>
      </c>
      <c r="K199" s="1" t="s">
        <v>2592</v>
      </c>
      <c r="L199" s="1"/>
      <c r="M199" s="1"/>
      <c r="N199" s="1"/>
      <c r="O199" s="1" t="s">
        <v>2592</v>
      </c>
      <c r="P199" s="9"/>
      <c r="R199" s="16">
        <f ca="1">IF(ISNUMBER(SEARCH(INDIRECT(CELL("address")),S199)),MAX($R$1:R198)+1,0)</f>
        <v>198</v>
      </c>
      <c r="S199" s="18" t="str">
        <f>Table1[[#This Row],[Portico_Specialty]]&amp;"-"&amp;Table1[[#This Row],[Code]]</f>
        <v>Dental Laboratory Technician-126900000X</v>
      </c>
      <c r="U199" s="16" t="str">
        <f ca="1">IFERROR(VLOOKUP(ROWS($U$1:U198),$R$2:$S$918,2,FALSE),"")</f>
        <v>Dental Laboratory Technician-126900000X</v>
      </c>
    </row>
    <row r="200" spans="1:21" x14ac:dyDescent="0.3">
      <c r="A200" s="21" t="s">
        <v>255</v>
      </c>
      <c r="B200" s="21" t="str">
        <f>Table1[[#This Row],[Code]]&amp;" "&amp;Table1[[#This Row],[Portico_Specialty]]</f>
        <v>125J00000X Dental Therapist</v>
      </c>
      <c r="C200" s="21" t="str">
        <f>CLEAN(Table1[[#This Row],[Code]])</f>
        <v>125J00000X</v>
      </c>
      <c r="D200" s="1" t="s">
        <v>256</v>
      </c>
      <c r="E200" s="1"/>
      <c r="F200" s="1" t="s">
        <v>2587</v>
      </c>
      <c r="G200" s="3" t="s">
        <v>2588</v>
      </c>
      <c r="H200" s="1"/>
      <c r="I200" s="1"/>
      <c r="J200" s="1" t="s">
        <v>2590</v>
      </c>
      <c r="K200" s="1" t="s">
        <v>2592</v>
      </c>
      <c r="L200" s="1"/>
      <c r="M200" s="1"/>
      <c r="N200" s="1"/>
      <c r="O200" s="1" t="s">
        <v>2592</v>
      </c>
      <c r="P200" s="9"/>
      <c r="R200" s="16">
        <f ca="1">IF(ISNUMBER(SEARCH(INDIRECT(CELL("address")),S200)),MAX($R$1:R199)+1,0)</f>
        <v>199</v>
      </c>
      <c r="S200" s="18" t="str">
        <f>Table1[[#This Row],[Portico_Specialty]]&amp;"-"&amp;Table1[[#This Row],[Code]]</f>
        <v>Dental Therapist-125J00000X</v>
      </c>
      <c r="U200" s="16" t="str">
        <f ca="1">IFERROR(VLOOKUP(ROWS($U$1:U199),$R$2:$S$918,2,FALSE),"")</f>
        <v>Dental Therapist-125J00000X</v>
      </c>
    </row>
    <row r="201" spans="1:21" x14ac:dyDescent="0.3">
      <c r="A201" s="21" t="s">
        <v>224</v>
      </c>
      <c r="B201" s="21" t="str">
        <f>Table1[[#This Row],[Code]]&amp;" "&amp;Table1[[#This Row],[Portico_Specialty]]</f>
        <v>122300000X Dentist</v>
      </c>
      <c r="C201" s="21" t="str">
        <f>CLEAN(Table1[[#This Row],[Code]])</f>
        <v>122300000X</v>
      </c>
      <c r="D201" s="1" t="s">
        <v>225</v>
      </c>
      <c r="E201" s="1"/>
      <c r="F201" s="1" t="s">
        <v>2587</v>
      </c>
      <c r="G201" s="4" t="s">
        <v>2593</v>
      </c>
      <c r="H201" s="1" t="s">
        <v>2592</v>
      </c>
      <c r="I201" s="1"/>
      <c r="J201" s="1" t="s">
        <v>2592</v>
      </c>
      <c r="K201" s="1" t="s">
        <v>2592</v>
      </c>
      <c r="L201" s="1" t="s">
        <v>2592</v>
      </c>
      <c r="M201" s="1" t="s">
        <v>2592</v>
      </c>
      <c r="N201" s="1" t="s">
        <v>2691</v>
      </c>
      <c r="O201" s="1" t="s">
        <v>2592</v>
      </c>
      <c r="P201" s="9"/>
      <c r="R201" s="16">
        <f ca="1">IF(ISNUMBER(SEARCH(INDIRECT(CELL("address")),S201)),MAX($R$1:R200)+1,0)</f>
        <v>200</v>
      </c>
      <c r="S201" s="18" t="str">
        <f>Table1[[#This Row],[Portico_Specialty]]&amp;"-"&amp;Table1[[#This Row],[Code]]</f>
        <v>Dentist-122300000X</v>
      </c>
      <c r="U201" s="16" t="str">
        <f ca="1">IFERROR(VLOOKUP(ROWS($U$1:U200),$R$2:$S$918,2,FALSE),"")</f>
        <v>Dentist-122300000X</v>
      </c>
    </row>
    <row r="202" spans="1:21" x14ac:dyDescent="0.3">
      <c r="A202" s="21" t="s">
        <v>226</v>
      </c>
      <c r="B202" s="21" t="str">
        <f>Table1[[#This Row],[Code]]&amp;" "&amp;Table1[[#This Row],[Portico_Specialty]]</f>
        <v>1223D0001X Dentist: Dental Public Health</v>
      </c>
      <c r="C202" s="21" t="str">
        <f>CLEAN(Table1[[#This Row],[Code]])</f>
        <v>1223D0001X</v>
      </c>
      <c r="D202" s="1" t="s">
        <v>227</v>
      </c>
      <c r="E202" s="1"/>
      <c r="F202" s="1" t="s">
        <v>2587</v>
      </c>
      <c r="G202" s="3" t="s">
        <v>2588</v>
      </c>
      <c r="H202" s="1" t="s">
        <v>2592</v>
      </c>
      <c r="I202" s="1"/>
      <c r="J202" s="1" t="s">
        <v>2592</v>
      </c>
      <c r="K202" s="1" t="s">
        <v>2592</v>
      </c>
      <c r="L202" s="1" t="s">
        <v>2592</v>
      </c>
      <c r="M202" s="1" t="s">
        <v>2592</v>
      </c>
      <c r="N202" s="1"/>
      <c r="O202" s="1" t="s">
        <v>2592</v>
      </c>
      <c r="P202" s="9"/>
      <c r="R202" s="16">
        <f ca="1">IF(ISNUMBER(SEARCH(INDIRECT(CELL("address")),S202)),MAX($R$1:R201)+1,0)</f>
        <v>201</v>
      </c>
      <c r="S202" s="18" t="str">
        <f>Table1[[#This Row],[Portico_Specialty]]&amp;"-"&amp;Table1[[#This Row],[Code]]</f>
        <v>Dentist: Dental Public Health-1223D0001X</v>
      </c>
      <c r="U202" s="16" t="str">
        <f ca="1">IFERROR(VLOOKUP(ROWS($U$1:U201),$R$2:$S$918,2,FALSE),"")</f>
        <v>Dentist: Dental Public Health-1223D0001X</v>
      </c>
    </row>
    <row r="203" spans="1:21" x14ac:dyDescent="0.3">
      <c r="A203" s="21" t="s">
        <v>228</v>
      </c>
      <c r="B203" s="21" t="str">
        <f>Table1[[#This Row],[Code]]&amp;" "&amp;Table1[[#This Row],[Portico_Specialty]]</f>
        <v>1223D0004X Dentist: Dentist Anesthesiologist</v>
      </c>
      <c r="C203" s="21" t="str">
        <f>CLEAN(Table1[[#This Row],[Code]])</f>
        <v>1223D0004X</v>
      </c>
      <c r="D203" s="1" t="s">
        <v>229</v>
      </c>
      <c r="E203" s="1"/>
      <c r="F203" s="1" t="s">
        <v>2587</v>
      </c>
      <c r="G203" s="3" t="s">
        <v>2588</v>
      </c>
      <c r="H203" s="1"/>
      <c r="I203" s="1"/>
      <c r="J203" s="1" t="s">
        <v>2590</v>
      </c>
      <c r="K203" s="1" t="s">
        <v>2592</v>
      </c>
      <c r="L203" s="1"/>
      <c r="M203" s="1"/>
      <c r="N203" s="1"/>
      <c r="O203" s="1" t="s">
        <v>2592</v>
      </c>
      <c r="P203" s="9"/>
      <c r="R203" s="16">
        <f ca="1">IF(ISNUMBER(SEARCH(INDIRECT(CELL("address")),S203)),MAX($R$1:R202)+1,0)</f>
        <v>202</v>
      </c>
      <c r="S203" s="18" t="str">
        <f>Table1[[#This Row],[Portico_Specialty]]&amp;"-"&amp;Table1[[#This Row],[Code]]</f>
        <v>Dentist: Dentist Anesthesiologist-1223D0004X</v>
      </c>
      <c r="U203" s="16" t="str">
        <f ca="1">IFERROR(VLOOKUP(ROWS($U$1:U202),$R$2:$S$918,2,FALSE),"")</f>
        <v>Dentist: Dentist Anesthesiologist-1223D0004X</v>
      </c>
    </row>
    <row r="204" spans="1:21" x14ac:dyDescent="0.3">
      <c r="A204" s="21" t="s">
        <v>231</v>
      </c>
      <c r="B204" s="21" t="str">
        <f>Table1[[#This Row],[Code]]&amp;" "&amp;Table1[[#This Row],[Portico_Specialty]]</f>
        <v>1223E0200X Dentist: Endodontics</v>
      </c>
      <c r="C204" s="21" t="str">
        <f>CLEAN(Table1[[#This Row],[Code]])</f>
        <v>1223E0200X</v>
      </c>
      <c r="D204" s="1" t="s">
        <v>232</v>
      </c>
      <c r="E204" s="1"/>
      <c r="F204" s="1" t="s">
        <v>2587</v>
      </c>
      <c r="G204" s="3" t="s">
        <v>2588</v>
      </c>
      <c r="H204" s="1" t="s">
        <v>2592</v>
      </c>
      <c r="I204" s="1"/>
      <c r="J204" s="1" t="s">
        <v>2592</v>
      </c>
      <c r="K204" s="1" t="s">
        <v>2592</v>
      </c>
      <c r="L204" s="1" t="s">
        <v>2592</v>
      </c>
      <c r="M204" s="1" t="s">
        <v>2592</v>
      </c>
      <c r="N204" s="1"/>
      <c r="O204" s="1" t="s">
        <v>2592</v>
      </c>
      <c r="P204" s="9"/>
      <c r="R204" s="16">
        <f ca="1">IF(ISNUMBER(SEARCH(INDIRECT(CELL("address")),S204)),MAX($R$1:R203)+1,0)</f>
        <v>203</v>
      </c>
      <c r="S204" s="18" t="str">
        <f>Table1[[#This Row],[Portico_Specialty]]&amp;"-"&amp;Table1[[#This Row],[Code]]</f>
        <v>Dentist: Endodontics-1223E0200X</v>
      </c>
      <c r="U204" s="16" t="str">
        <f ca="1">IFERROR(VLOOKUP(ROWS($U$1:U203),$R$2:$S$918,2,FALSE),"")</f>
        <v>Dentist: Endodontics-1223E0200X</v>
      </c>
    </row>
    <row r="205" spans="1:21" x14ac:dyDescent="0.3">
      <c r="A205" s="21" t="s">
        <v>233</v>
      </c>
      <c r="B205" s="21" t="str">
        <f>Table1[[#This Row],[Code]]&amp;" "&amp;Table1[[#This Row],[Portico_Specialty]]</f>
        <v>1223G0001X Dentist: General Practice</v>
      </c>
      <c r="C205" s="21" t="str">
        <f>CLEAN(Table1[[#This Row],[Code]])</f>
        <v>1223G0001X</v>
      </c>
      <c r="D205" s="1" t="s">
        <v>234</v>
      </c>
      <c r="E205" s="1"/>
      <c r="F205" s="1" t="s">
        <v>2587</v>
      </c>
      <c r="G205" s="3" t="s">
        <v>2588</v>
      </c>
      <c r="H205" s="1" t="s">
        <v>2592</v>
      </c>
      <c r="I205" s="1"/>
      <c r="J205" s="1" t="s">
        <v>2592</v>
      </c>
      <c r="K205" s="1" t="s">
        <v>2592</v>
      </c>
      <c r="L205" s="1" t="s">
        <v>2592</v>
      </c>
      <c r="M205" s="1" t="s">
        <v>2592</v>
      </c>
      <c r="N205" s="1"/>
      <c r="O205" s="1" t="s">
        <v>2592</v>
      </c>
      <c r="P205" s="9"/>
      <c r="R205" s="16">
        <f ca="1">IF(ISNUMBER(SEARCH(INDIRECT(CELL("address")),S205)),MAX($R$1:R204)+1,0)</f>
        <v>204</v>
      </c>
      <c r="S205" s="18" t="str">
        <f>Table1[[#This Row],[Portico_Specialty]]&amp;"-"&amp;Table1[[#This Row],[Code]]</f>
        <v>Dentist: General Practice-1223G0001X</v>
      </c>
      <c r="U205" s="16" t="str">
        <f ca="1">IFERROR(VLOOKUP(ROWS($U$1:U204),$R$2:$S$918,2,FALSE),"")</f>
        <v>Dentist: General Practice-1223G0001X</v>
      </c>
    </row>
    <row r="206" spans="1:21" x14ac:dyDescent="0.3">
      <c r="A206" s="21" t="s">
        <v>235</v>
      </c>
      <c r="B206" s="21" t="str">
        <f>Table1[[#This Row],[Code]]&amp;" "&amp;Table1[[#This Row],[Portico_Specialty]]</f>
        <v>1223P0106X Dentist: Oral and Maxillofacial Pathology</v>
      </c>
      <c r="C206" s="21" t="str">
        <f>CLEAN(Table1[[#This Row],[Code]])</f>
        <v>1223P0106X</v>
      </c>
      <c r="D206" s="1" t="s">
        <v>236</v>
      </c>
      <c r="E206" s="1"/>
      <c r="F206" s="1" t="s">
        <v>2587</v>
      </c>
      <c r="G206" s="3" t="s">
        <v>2588</v>
      </c>
      <c r="H206" s="1" t="s">
        <v>2692</v>
      </c>
      <c r="I206" s="1"/>
      <c r="J206" s="1" t="s">
        <v>2692</v>
      </c>
      <c r="K206" s="1" t="s">
        <v>2592</v>
      </c>
      <c r="L206" s="1" t="s">
        <v>2692</v>
      </c>
      <c r="M206" s="1" t="s">
        <v>2692</v>
      </c>
      <c r="N206" s="1" t="s">
        <v>2691</v>
      </c>
      <c r="O206" s="1" t="s">
        <v>2592</v>
      </c>
      <c r="P206" s="9"/>
      <c r="R206" s="16">
        <f ca="1">IF(ISNUMBER(SEARCH(INDIRECT(CELL("address")),S206)),MAX($R$1:R205)+1,0)</f>
        <v>205</v>
      </c>
      <c r="S206" s="18" t="str">
        <f>Table1[[#This Row],[Portico_Specialty]]&amp;"-"&amp;Table1[[#This Row],[Code]]</f>
        <v>Dentist: Oral and Maxillofacial Pathology-1223P0106X</v>
      </c>
      <c r="U206" s="16" t="str">
        <f ca="1">IFERROR(VLOOKUP(ROWS($U$1:U205),$R$2:$S$918,2,FALSE),"")</f>
        <v>Dentist: Oral and Maxillofacial Pathology-1223P0106X</v>
      </c>
    </row>
    <row r="207" spans="1:21" x14ac:dyDescent="0.3">
      <c r="A207" s="21" t="s">
        <v>245</v>
      </c>
      <c r="B207" s="21" t="str">
        <f>Table1[[#This Row],[Code]]&amp;" "&amp;Table1[[#This Row],[Portico_Specialty]]</f>
        <v>1223X0008X Dentist: Oral and Maxillofacial Radiology</v>
      </c>
      <c r="C207" s="21" t="str">
        <f>CLEAN(Table1[[#This Row],[Code]])</f>
        <v>1223X0008X</v>
      </c>
      <c r="D207" s="1" t="s">
        <v>246</v>
      </c>
      <c r="E207" s="1"/>
      <c r="F207" s="1" t="s">
        <v>2587</v>
      </c>
      <c r="G207" s="3" t="s">
        <v>2588</v>
      </c>
      <c r="H207" s="1" t="s">
        <v>2692</v>
      </c>
      <c r="I207" s="1"/>
      <c r="J207" s="1" t="s">
        <v>2692</v>
      </c>
      <c r="K207" s="1" t="s">
        <v>2592</v>
      </c>
      <c r="L207" s="1" t="s">
        <v>2692</v>
      </c>
      <c r="M207" s="1" t="s">
        <v>2692</v>
      </c>
      <c r="N207" s="1" t="s">
        <v>2691</v>
      </c>
      <c r="O207" s="1" t="s">
        <v>2592</v>
      </c>
      <c r="P207" s="9"/>
      <c r="R207" s="16">
        <f ca="1">IF(ISNUMBER(SEARCH(INDIRECT(CELL("address")),S207)),MAX($R$1:R206)+1,0)</f>
        <v>206</v>
      </c>
      <c r="S207" s="18" t="str">
        <f>Table1[[#This Row],[Portico_Specialty]]&amp;"-"&amp;Table1[[#This Row],[Code]]</f>
        <v>Dentist: Oral and Maxillofacial Radiology-1223X0008X</v>
      </c>
      <c r="U207" s="16" t="str">
        <f ca="1">IFERROR(VLOOKUP(ROWS($U$1:U206),$R$2:$S$918,2,FALSE),"")</f>
        <v>Dentist: Oral and Maxillofacial Radiology-1223X0008X</v>
      </c>
    </row>
    <row r="208" spans="1:21" x14ac:dyDescent="0.3">
      <c r="A208" s="21" t="s">
        <v>243</v>
      </c>
      <c r="B208" s="21" t="str">
        <f>Table1[[#This Row],[Code]]&amp;" "&amp;Table1[[#This Row],[Portico_Specialty]]</f>
        <v>1223S0112X Dentist: Oral and Maxillofacial Surgery</v>
      </c>
      <c r="C208" s="21" t="str">
        <f>CLEAN(Table1[[#This Row],[Code]])</f>
        <v>1223S0112X</v>
      </c>
      <c r="D208" s="1" t="s">
        <v>244</v>
      </c>
      <c r="E208" s="1"/>
      <c r="F208" s="1" t="s">
        <v>2587</v>
      </c>
      <c r="G208" s="4" t="s">
        <v>2593</v>
      </c>
      <c r="H208" s="1" t="s">
        <v>2691</v>
      </c>
      <c r="I208" s="1"/>
      <c r="J208" s="1" t="s">
        <v>2655</v>
      </c>
      <c r="K208" s="1" t="s">
        <v>2592</v>
      </c>
      <c r="L208" s="1" t="s">
        <v>2692</v>
      </c>
      <c r="M208" s="1" t="s">
        <v>2655</v>
      </c>
      <c r="N208" s="1" t="s">
        <v>2691</v>
      </c>
      <c r="O208" s="1" t="s">
        <v>2592</v>
      </c>
      <c r="P208" s="9"/>
      <c r="R208" s="16">
        <f ca="1">IF(ISNUMBER(SEARCH(INDIRECT(CELL("address")),S208)),MAX($R$1:R207)+1,0)</f>
        <v>207</v>
      </c>
      <c r="S208" s="18" t="str">
        <f>Table1[[#This Row],[Portico_Specialty]]&amp;"-"&amp;Table1[[#This Row],[Code]]</f>
        <v>Dentist: Oral and Maxillofacial Surgery-1223S0112X</v>
      </c>
      <c r="U208" s="16" t="str">
        <f ca="1">IFERROR(VLOOKUP(ROWS($U$1:U207),$R$2:$S$918,2,FALSE),"")</f>
        <v>Dentist: Oral and Maxillofacial Surgery-1223S0112X</v>
      </c>
    </row>
    <row r="209" spans="1:21" ht="30.75" x14ac:dyDescent="0.3">
      <c r="A209" s="21" t="s">
        <v>247</v>
      </c>
      <c r="B209" s="21" t="str">
        <f>Table1[[#This Row],[Code]]&amp;" "&amp;Table1[[#This Row],[Portico_Specialty]]</f>
        <v>1223X0400X Dentist: Orthodontics and Dentofacial Orthopedics</v>
      </c>
      <c r="C209" s="21" t="str">
        <f>CLEAN(Table1[[#This Row],[Code]])</f>
        <v>1223X0400X</v>
      </c>
      <c r="D209" s="1" t="s">
        <v>248</v>
      </c>
      <c r="E209" s="1"/>
      <c r="F209" s="1" t="s">
        <v>2587</v>
      </c>
      <c r="G209" s="3" t="s">
        <v>2588</v>
      </c>
      <c r="H209" s="1" t="s">
        <v>2592</v>
      </c>
      <c r="I209" s="1"/>
      <c r="J209" s="1" t="s">
        <v>2592</v>
      </c>
      <c r="K209" s="1" t="s">
        <v>2592</v>
      </c>
      <c r="L209" s="1" t="s">
        <v>2592</v>
      </c>
      <c r="M209" s="1" t="s">
        <v>2592</v>
      </c>
      <c r="N209" s="1" t="s">
        <v>2691</v>
      </c>
      <c r="O209" s="1" t="s">
        <v>2592</v>
      </c>
      <c r="P209" s="9"/>
      <c r="R209" s="16">
        <f ca="1">IF(ISNUMBER(SEARCH(INDIRECT(CELL("address")),S209)),MAX($R$1:R208)+1,0)</f>
        <v>208</v>
      </c>
      <c r="S209" s="18" t="str">
        <f>Table1[[#This Row],[Portico_Specialty]]&amp;"-"&amp;Table1[[#This Row],[Code]]</f>
        <v>Dentist: Orthodontics and Dentofacial Orthopedics-1223X0400X</v>
      </c>
      <c r="U209" s="16" t="str">
        <f ca="1">IFERROR(VLOOKUP(ROWS($U$1:U208),$R$2:$S$918,2,FALSE),"")</f>
        <v>Dentist: Orthodontics and Dentofacial Orthopedics-1223X0400X</v>
      </c>
    </row>
    <row r="210" spans="1:21" x14ac:dyDescent="0.3">
      <c r="A210" s="21" t="s">
        <v>237</v>
      </c>
      <c r="B210" s="21" t="str">
        <f>Table1[[#This Row],[Code]]&amp;" "&amp;Table1[[#This Row],[Portico_Specialty]]</f>
        <v>1223P0221X Dentist: Pediatric Dentistry</v>
      </c>
      <c r="C210" s="21" t="str">
        <f>CLEAN(Table1[[#This Row],[Code]])</f>
        <v>1223P0221X</v>
      </c>
      <c r="D210" s="1" t="s">
        <v>238</v>
      </c>
      <c r="E210" s="1"/>
      <c r="F210" s="1" t="s">
        <v>2587</v>
      </c>
      <c r="G210" s="3" t="s">
        <v>2588</v>
      </c>
      <c r="H210" s="1" t="s">
        <v>2592</v>
      </c>
      <c r="I210" s="1"/>
      <c r="J210" s="1" t="s">
        <v>2592</v>
      </c>
      <c r="K210" s="1" t="s">
        <v>2592</v>
      </c>
      <c r="L210" s="1" t="s">
        <v>2592</v>
      </c>
      <c r="M210" s="1" t="s">
        <v>2592</v>
      </c>
      <c r="N210" s="1" t="s">
        <v>2691</v>
      </c>
      <c r="O210" s="1" t="s">
        <v>2592</v>
      </c>
      <c r="P210" s="9"/>
      <c r="R210" s="16">
        <f ca="1">IF(ISNUMBER(SEARCH(INDIRECT(CELL("address")),S210)),MAX($R$1:R209)+1,0)</f>
        <v>209</v>
      </c>
      <c r="S210" s="18" t="str">
        <f>Table1[[#This Row],[Portico_Specialty]]&amp;"-"&amp;Table1[[#This Row],[Code]]</f>
        <v>Dentist: Pediatric Dentistry-1223P0221X</v>
      </c>
      <c r="U210" s="16" t="str">
        <f ca="1">IFERROR(VLOOKUP(ROWS($U$1:U209),$R$2:$S$918,2,FALSE),"")</f>
        <v>Dentist: Pediatric Dentistry-1223P0221X</v>
      </c>
    </row>
    <row r="211" spans="1:21" x14ac:dyDescent="0.3">
      <c r="A211" s="21" t="s">
        <v>239</v>
      </c>
      <c r="B211" s="21" t="str">
        <f>Table1[[#This Row],[Code]]&amp;" "&amp;Table1[[#This Row],[Portico_Specialty]]</f>
        <v>1223P0300X Dentist: Periodontics</v>
      </c>
      <c r="C211" s="21" t="str">
        <f>CLEAN(Table1[[#This Row],[Code]])</f>
        <v>1223P0300X</v>
      </c>
      <c r="D211" s="1" t="s">
        <v>240</v>
      </c>
      <c r="E211" s="1"/>
      <c r="F211" s="1" t="s">
        <v>2587</v>
      </c>
      <c r="G211" s="3" t="s">
        <v>2588</v>
      </c>
      <c r="H211" s="1" t="s">
        <v>2592</v>
      </c>
      <c r="I211" s="1"/>
      <c r="J211" s="1" t="s">
        <v>2592</v>
      </c>
      <c r="K211" s="1" t="s">
        <v>2592</v>
      </c>
      <c r="L211" s="1" t="s">
        <v>2592</v>
      </c>
      <c r="M211" s="1" t="s">
        <v>2592</v>
      </c>
      <c r="N211" s="1"/>
      <c r="O211" s="1" t="s">
        <v>2592</v>
      </c>
      <c r="P211" s="9"/>
      <c r="R211" s="16">
        <f ca="1">IF(ISNUMBER(SEARCH(INDIRECT(CELL("address")),S211)),MAX($R$1:R210)+1,0)</f>
        <v>210</v>
      </c>
      <c r="S211" s="18" t="str">
        <f>Table1[[#This Row],[Portico_Specialty]]&amp;"-"&amp;Table1[[#This Row],[Code]]</f>
        <v>Dentist: Periodontics-1223P0300X</v>
      </c>
      <c r="U211" s="16" t="str">
        <f ca="1">IFERROR(VLOOKUP(ROWS($U$1:U210),$R$2:$S$918,2,FALSE),"")</f>
        <v>Dentist: Periodontics-1223P0300X</v>
      </c>
    </row>
    <row r="212" spans="1:21" x14ac:dyDescent="0.3">
      <c r="A212" s="21" t="s">
        <v>241</v>
      </c>
      <c r="B212" s="21" t="str">
        <f>Table1[[#This Row],[Code]]&amp;" "&amp;Table1[[#This Row],[Portico_Specialty]]</f>
        <v>1223P0700X Dentist: Prosthodontics</v>
      </c>
      <c r="C212" s="21" t="str">
        <f>CLEAN(Table1[[#This Row],[Code]])</f>
        <v>1223P0700X</v>
      </c>
      <c r="D212" s="1" t="s">
        <v>242</v>
      </c>
      <c r="E212" s="1"/>
      <c r="F212" s="1" t="s">
        <v>2587</v>
      </c>
      <c r="G212" s="3" t="s">
        <v>2588</v>
      </c>
      <c r="H212" s="1" t="s">
        <v>2592</v>
      </c>
      <c r="I212" s="1"/>
      <c r="J212" s="1" t="s">
        <v>2592</v>
      </c>
      <c r="K212" s="1" t="s">
        <v>2592</v>
      </c>
      <c r="L212" s="1" t="s">
        <v>2592</v>
      </c>
      <c r="M212" s="1" t="s">
        <v>2592</v>
      </c>
      <c r="N212" s="1"/>
      <c r="O212" s="1" t="s">
        <v>2592</v>
      </c>
      <c r="P212" s="9"/>
      <c r="R212" s="16">
        <f ca="1">IF(ISNUMBER(SEARCH(INDIRECT(CELL("address")),S212)),MAX($R$1:R211)+1,0)</f>
        <v>211</v>
      </c>
      <c r="S212" s="18" t="str">
        <f>Table1[[#This Row],[Portico_Specialty]]&amp;"-"&amp;Table1[[#This Row],[Code]]</f>
        <v>Dentist: Prosthodontics-1223P0700X</v>
      </c>
      <c r="U212" s="16" t="str">
        <f ca="1">IFERROR(VLOOKUP(ROWS($U$1:U211),$R$2:$S$918,2,FALSE),"")</f>
        <v>Dentist: Prosthodontics-1223P0700X</v>
      </c>
    </row>
    <row r="213" spans="1:21" x14ac:dyDescent="0.3">
      <c r="A213" s="21" t="s">
        <v>251</v>
      </c>
      <c r="B213" s="21" t="str">
        <f>Table1[[#This Row],[Code]]&amp;" "&amp;Table1[[#This Row],[Portico_Specialty]]</f>
        <v>122400000X Denturist</v>
      </c>
      <c r="C213" s="21" t="str">
        <f>CLEAN(Table1[[#This Row],[Code]])</f>
        <v>122400000X</v>
      </c>
      <c r="D213" s="1" t="s">
        <v>252</v>
      </c>
      <c r="E213" s="1"/>
      <c r="F213" s="1" t="s">
        <v>2587</v>
      </c>
      <c r="G213" s="3" t="s">
        <v>2588</v>
      </c>
      <c r="H213" s="1" t="s">
        <v>2592</v>
      </c>
      <c r="I213" s="1"/>
      <c r="J213" s="1" t="s">
        <v>2592</v>
      </c>
      <c r="K213" s="1" t="s">
        <v>2592</v>
      </c>
      <c r="L213" s="1" t="s">
        <v>2592</v>
      </c>
      <c r="M213" s="1" t="s">
        <v>2592</v>
      </c>
      <c r="N213" s="1"/>
      <c r="O213" s="1" t="s">
        <v>2592</v>
      </c>
      <c r="P213" s="9"/>
      <c r="R213" s="16">
        <f ca="1">IF(ISNUMBER(SEARCH(INDIRECT(CELL("address")),S213)),MAX($R$1:R212)+1,0)</f>
        <v>212</v>
      </c>
      <c r="S213" s="18" t="str">
        <f>Table1[[#This Row],[Portico_Specialty]]&amp;"-"&amp;Table1[[#This Row],[Code]]</f>
        <v>Denturist-122400000X</v>
      </c>
      <c r="U213" s="16" t="str">
        <f ca="1">IFERROR(VLOOKUP(ROWS($U$1:U212),$R$2:$S$918,2,FALSE),"")</f>
        <v>Denturist-122400000X</v>
      </c>
    </row>
    <row r="214" spans="1:21" ht="30.75" x14ac:dyDescent="0.3">
      <c r="A214" s="21" t="s">
        <v>1593</v>
      </c>
      <c r="B214" s="21" t="str">
        <f>Table1[[#This Row],[Code]]&amp;" "&amp;Table1[[#This Row],[Portico_Specialty]]</f>
        <v>332100000X Department of Veterans Affairs (VA) Pharmacy</v>
      </c>
      <c r="C214" s="21" t="str">
        <f>CLEAN(Table1[[#This Row],[Code]])</f>
        <v>332100000X</v>
      </c>
      <c r="D214" s="1" t="s">
        <v>1594</v>
      </c>
      <c r="E214" s="1"/>
      <c r="F214" s="1" t="s">
        <v>2587</v>
      </c>
      <c r="G214" s="3" t="s">
        <v>2588</v>
      </c>
      <c r="H214" s="1" t="s">
        <v>2693</v>
      </c>
      <c r="I214" s="1"/>
      <c r="J214" s="1" t="s">
        <v>2693</v>
      </c>
      <c r="K214" s="1" t="s">
        <v>2672</v>
      </c>
      <c r="L214" s="1" t="s">
        <v>2693</v>
      </c>
      <c r="M214" s="1" t="s">
        <v>2693</v>
      </c>
      <c r="N214" s="1" t="s">
        <v>2694</v>
      </c>
      <c r="O214" s="1" t="s">
        <v>2672</v>
      </c>
      <c r="P214" s="9"/>
      <c r="R214" s="16">
        <f ca="1">IF(ISNUMBER(SEARCH(INDIRECT(CELL("address")),S214)),MAX($R$1:R213)+1,0)</f>
        <v>213</v>
      </c>
      <c r="S214" s="18" t="str">
        <f>Table1[[#This Row],[Portico_Specialty]]&amp;"-"&amp;Table1[[#This Row],[Code]]</f>
        <v>Department of Veterans Affairs (VA) Pharmacy-332100000X</v>
      </c>
      <c r="U214" s="16" t="str">
        <f ca="1">IFERROR(VLOOKUP(ROWS($U$1:U213),$R$2:$S$918,2,FALSE),"")</f>
        <v>Department of Veterans Affairs (VA) Pharmacy-332100000X</v>
      </c>
    </row>
    <row r="215" spans="1:21" x14ac:dyDescent="0.3">
      <c r="A215" s="21" t="s">
        <v>575</v>
      </c>
      <c r="B215" s="21" t="str">
        <f>Table1[[#This Row],[Code]]&amp;" "&amp;Table1[[#This Row],[Portico_Specialty]]</f>
        <v>207N00000X Dermatology</v>
      </c>
      <c r="C215" s="21" t="str">
        <f>CLEAN(Table1[[#This Row],[Code]])</f>
        <v>207N00000X</v>
      </c>
      <c r="D215" s="1" t="s">
        <v>576</v>
      </c>
      <c r="E215" s="1"/>
      <c r="F215" s="1" t="s">
        <v>2587</v>
      </c>
      <c r="G215" s="4" t="s">
        <v>2593</v>
      </c>
      <c r="H215" s="1" t="s">
        <v>2695</v>
      </c>
      <c r="I215" s="1"/>
      <c r="J215" s="1" t="s">
        <v>2695</v>
      </c>
      <c r="K215" s="1" t="s">
        <v>2695</v>
      </c>
      <c r="L215" s="1" t="s">
        <v>2695</v>
      </c>
      <c r="M215" s="1" t="s">
        <v>2695</v>
      </c>
      <c r="N215" s="1" t="s">
        <v>2695</v>
      </c>
      <c r="O215" s="1" t="s">
        <v>2695</v>
      </c>
      <c r="P215" s="9"/>
      <c r="R215" s="16">
        <f ca="1">IF(ISNUMBER(SEARCH(INDIRECT(CELL("address")),S215)),MAX($R$1:R214)+1,0)</f>
        <v>214</v>
      </c>
      <c r="S215" s="18" t="str">
        <f>Table1[[#This Row],[Portico_Specialty]]&amp;"-"&amp;Table1[[#This Row],[Code]]</f>
        <v>Dermatology-207N00000X</v>
      </c>
      <c r="U215" s="16" t="str">
        <f ca="1">IFERROR(VLOOKUP(ROWS($U$1:U214),$R$2:$S$918,2,FALSE),"")</f>
        <v>Dermatology-207N00000X</v>
      </c>
    </row>
    <row r="216" spans="1:21" ht="30.75" x14ac:dyDescent="0.3">
      <c r="A216" s="21" t="s">
        <v>581</v>
      </c>
      <c r="B216" s="21" t="str">
        <f>Table1[[#This Row],[Code]]&amp;" "&amp;Table1[[#This Row],[Portico_Specialty]]</f>
        <v>207NI0002X Dermatology: Clinical &amp; Laboratory Dermatological Immunology</v>
      </c>
      <c r="C216" s="21" t="str">
        <f>CLEAN(Table1[[#This Row],[Code]])</f>
        <v>207NI0002X</v>
      </c>
      <c r="D216" s="1" t="s">
        <v>582</v>
      </c>
      <c r="E216" s="1"/>
      <c r="F216" s="1" t="s">
        <v>2587</v>
      </c>
      <c r="G216" s="4" t="s">
        <v>2593</v>
      </c>
      <c r="H216" s="1" t="s">
        <v>2695</v>
      </c>
      <c r="I216" s="1"/>
      <c r="J216" s="1" t="s">
        <v>2695</v>
      </c>
      <c r="K216" s="1" t="s">
        <v>2695</v>
      </c>
      <c r="L216" s="1" t="s">
        <v>2695</v>
      </c>
      <c r="M216" s="1" t="s">
        <v>2695</v>
      </c>
      <c r="N216" s="1" t="s">
        <v>2695</v>
      </c>
      <c r="O216" s="1" t="s">
        <v>2695</v>
      </c>
      <c r="P216" s="9"/>
      <c r="R216" s="16">
        <f ca="1">IF(ISNUMBER(SEARCH(INDIRECT(CELL("address")),S216)),MAX($R$1:R215)+1,0)</f>
        <v>215</v>
      </c>
      <c r="S216" s="18" t="str">
        <f>Table1[[#This Row],[Portico_Specialty]]&amp;"-"&amp;Table1[[#This Row],[Code]]</f>
        <v>Dermatology: Clinical &amp; Laboratory Dermatological Immunology-207NI0002X</v>
      </c>
      <c r="U216" s="16" t="str">
        <f ca="1">IFERROR(VLOOKUP(ROWS($U$1:U215),$R$2:$S$918,2,FALSE),"")</f>
        <v>Dermatology: Clinical &amp; Laboratory Dermatological Immunology-207NI0002X</v>
      </c>
    </row>
    <row r="217" spans="1:21" x14ac:dyDescent="0.3">
      <c r="A217" s="21" t="s">
        <v>579</v>
      </c>
      <c r="B217" s="21" t="str">
        <f>Table1[[#This Row],[Code]]&amp;" "&amp;Table1[[#This Row],[Portico_Specialty]]</f>
        <v>207ND0900X Dermatology: Dermatopathology</v>
      </c>
      <c r="C217" s="21" t="str">
        <f>CLEAN(Table1[[#This Row],[Code]])</f>
        <v>207ND0900X</v>
      </c>
      <c r="D217" s="1" t="s">
        <v>580</v>
      </c>
      <c r="E217" s="1"/>
      <c r="F217" s="1" t="s">
        <v>2587</v>
      </c>
      <c r="G217" s="4" t="s">
        <v>2593</v>
      </c>
      <c r="H217" s="1" t="s">
        <v>2695</v>
      </c>
      <c r="I217" s="1"/>
      <c r="J217" s="1" t="s">
        <v>2695</v>
      </c>
      <c r="K217" s="1" t="s">
        <v>2695</v>
      </c>
      <c r="L217" s="1" t="s">
        <v>2695</v>
      </c>
      <c r="M217" s="1" t="s">
        <v>2695</v>
      </c>
      <c r="N217" s="1" t="s">
        <v>2695</v>
      </c>
      <c r="O217" s="1" t="s">
        <v>2695</v>
      </c>
      <c r="P217" s="9"/>
      <c r="R217" s="16">
        <f ca="1">IF(ISNUMBER(SEARCH(INDIRECT(CELL("address")),S217)),MAX($R$1:R216)+1,0)</f>
        <v>216</v>
      </c>
      <c r="S217" s="18" t="str">
        <f>Table1[[#This Row],[Portico_Specialty]]&amp;"-"&amp;Table1[[#This Row],[Code]]</f>
        <v>Dermatology: Dermatopathology-207ND0900X</v>
      </c>
      <c r="U217" s="16" t="str">
        <f ca="1">IFERROR(VLOOKUP(ROWS($U$1:U216),$R$2:$S$918,2,FALSE),"")</f>
        <v>Dermatology: Dermatopathology-207ND0900X</v>
      </c>
    </row>
    <row r="218" spans="1:21" x14ac:dyDescent="0.3">
      <c r="A218" s="21" t="s">
        <v>577</v>
      </c>
      <c r="B218" s="21" t="str">
        <f>Table1[[#This Row],[Code]]&amp;" "&amp;Table1[[#This Row],[Portico_Specialty]]</f>
        <v>207ND0101X Dermatology: MOHS-Micrographic Surgery</v>
      </c>
      <c r="C218" s="21" t="str">
        <f>CLEAN(Table1[[#This Row],[Code]])</f>
        <v>207ND0101X</v>
      </c>
      <c r="D218" s="1" t="s">
        <v>578</v>
      </c>
      <c r="E218" s="1"/>
      <c r="F218" s="1" t="s">
        <v>2587</v>
      </c>
      <c r="G218" s="4" t="s">
        <v>2593</v>
      </c>
      <c r="H218" s="1" t="s">
        <v>2695</v>
      </c>
      <c r="I218" s="1"/>
      <c r="J218" s="1" t="s">
        <v>2695</v>
      </c>
      <c r="K218" s="1" t="s">
        <v>2695</v>
      </c>
      <c r="L218" s="1" t="s">
        <v>2695</v>
      </c>
      <c r="M218" s="1" t="s">
        <v>2695</v>
      </c>
      <c r="N218" s="1" t="s">
        <v>2695</v>
      </c>
      <c r="O218" s="1" t="s">
        <v>2695</v>
      </c>
      <c r="P218" s="9"/>
      <c r="R218" s="16">
        <f ca="1">IF(ISNUMBER(SEARCH(INDIRECT(CELL("address")),S218)),MAX($R$1:R217)+1,0)</f>
        <v>217</v>
      </c>
      <c r="S218" s="18" t="str">
        <f>Table1[[#This Row],[Portico_Specialty]]&amp;"-"&amp;Table1[[#This Row],[Code]]</f>
        <v>Dermatology: MOHS-Micrographic Surgery-207ND0101X</v>
      </c>
      <c r="U218" s="16" t="str">
        <f ca="1">IFERROR(VLOOKUP(ROWS($U$1:U217),$R$2:$S$918,2,FALSE),"")</f>
        <v>Dermatology: MOHS-Micrographic Surgery-207ND0101X</v>
      </c>
    </row>
    <row r="219" spans="1:21" x14ac:dyDescent="0.3">
      <c r="A219" s="21" t="s">
        <v>583</v>
      </c>
      <c r="B219" s="21" t="str">
        <f>Table1[[#This Row],[Code]]&amp;" "&amp;Table1[[#This Row],[Portico_Specialty]]</f>
        <v>207NP0225X Dermatology: Pediatric Dermatology</v>
      </c>
      <c r="C219" s="21" t="str">
        <f>CLEAN(Table1[[#This Row],[Code]])</f>
        <v>207NP0225X</v>
      </c>
      <c r="D219" s="1" t="s">
        <v>584</v>
      </c>
      <c r="E219" s="1"/>
      <c r="F219" s="1" t="s">
        <v>2587</v>
      </c>
      <c r="G219" s="4" t="s">
        <v>2593</v>
      </c>
      <c r="H219" s="1" t="s">
        <v>2695</v>
      </c>
      <c r="I219" s="1"/>
      <c r="J219" s="1" t="s">
        <v>2695</v>
      </c>
      <c r="K219" s="1" t="s">
        <v>2695</v>
      </c>
      <c r="L219" s="1" t="s">
        <v>2695</v>
      </c>
      <c r="M219" s="1" t="s">
        <v>2695</v>
      </c>
      <c r="N219" s="1" t="s">
        <v>2695</v>
      </c>
      <c r="O219" s="1" t="s">
        <v>2695</v>
      </c>
      <c r="P219" s="9"/>
      <c r="R219" s="16">
        <f ca="1">IF(ISNUMBER(SEARCH(INDIRECT(CELL("address")),S219)),MAX($R$1:R218)+1,0)</f>
        <v>218</v>
      </c>
      <c r="S219" s="18" t="str">
        <f>Table1[[#This Row],[Portico_Specialty]]&amp;"-"&amp;Table1[[#This Row],[Code]]</f>
        <v>Dermatology: Pediatric Dermatology-207NP0225X</v>
      </c>
      <c r="U219" s="16" t="str">
        <f ca="1">IFERROR(VLOOKUP(ROWS($U$1:U218),$R$2:$S$918,2,FALSE),"")</f>
        <v>Dermatology: Pediatric Dermatology-207NP0225X</v>
      </c>
    </row>
    <row r="220" spans="1:21" x14ac:dyDescent="0.3">
      <c r="A220" s="21" t="s">
        <v>585</v>
      </c>
      <c r="B220" s="21" t="str">
        <f>Table1[[#This Row],[Code]]&amp;" "&amp;Table1[[#This Row],[Portico_Specialty]]</f>
        <v>207NS0135X Dermatology: Procedural Dermatology</v>
      </c>
      <c r="C220" s="21" t="str">
        <f>CLEAN(Table1[[#This Row],[Code]])</f>
        <v>207NS0135X</v>
      </c>
      <c r="D220" s="1" t="s">
        <v>586</v>
      </c>
      <c r="E220" s="1"/>
      <c r="F220" s="1" t="s">
        <v>2587</v>
      </c>
      <c r="G220" s="4" t="s">
        <v>2593</v>
      </c>
      <c r="H220" s="1" t="s">
        <v>2695</v>
      </c>
      <c r="I220" s="1"/>
      <c r="J220" s="1" t="s">
        <v>2695</v>
      </c>
      <c r="K220" s="1" t="s">
        <v>2695</v>
      </c>
      <c r="L220" s="1" t="s">
        <v>2695</v>
      </c>
      <c r="M220" s="1" t="s">
        <v>2695</v>
      </c>
      <c r="N220" s="1" t="s">
        <v>2695</v>
      </c>
      <c r="O220" s="1" t="s">
        <v>2695</v>
      </c>
      <c r="P220" s="9"/>
      <c r="R220" s="16">
        <f ca="1">IF(ISNUMBER(SEARCH(INDIRECT(CELL("address")),S220)),MAX($R$1:R219)+1,0)</f>
        <v>219</v>
      </c>
      <c r="S220" s="18" t="str">
        <f>Table1[[#This Row],[Portico_Specialty]]&amp;"-"&amp;Table1[[#This Row],[Code]]</f>
        <v>Dermatology: Procedural Dermatology-207NS0135X</v>
      </c>
      <c r="U220" s="16" t="str">
        <f ca="1">IFERROR(VLOOKUP(ROWS($U$1:U219),$R$2:$S$918,2,FALSE),"")</f>
        <v>Dermatology: Procedural Dermatology-207NS0135X</v>
      </c>
    </row>
    <row r="221" spans="1:21" x14ac:dyDescent="0.3">
      <c r="A221" s="21" t="s">
        <v>1017</v>
      </c>
      <c r="B221" s="21" t="str">
        <f>Table1[[#This Row],[Code]]&amp;" "&amp;Table1[[#This Row],[Portico_Specialty]]</f>
        <v>222Q00000X Developmental Therapist</v>
      </c>
      <c r="C221" s="21" t="str">
        <f>CLEAN(Table1[[#This Row],[Code]])</f>
        <v>222Q00000X</v>
      </c>
      <c r="D221" s="1" t="s">
        <v>1018</v>
      </c>
      <c r="E221" s="1"/>
      <c r="F221" s="1" t="s">
        <v>2587</v>
      </c>
      <c r="G221" s="3" t="s">
        <v>2588</v>
      </c>
      <c r="H221" s="1" t="s">
        <v>2600</v>
      </c>
      <c r="I221" s="1"/>
      <c r="J221" s="1" t="s">
        <v>2612</v>
      </c>
      <c r="K221" s="1" t="s">
        <v>2600</v>
      </c>
      <c r="L221" s="1" t="s">
        <v>2600</v>
      </c>
      <c r="M221" s="1" t="s">
        <v>2612</v>
      </c>
      <c r="N221" s="1"/>
      <c r="O221" s="1" t="s">
        <v>2600</v>
      </c>
      <c r="P221" s="9"/>
      <c r="R221" s="16">
        <f ca="1">IF(ISNUMBER(SEARCH(INDIRECT(CELL("address")),S221)),MAX($R$1:R220)+1,0)</f>
        <v>220</v>
      </c>
      <c r="S221" s="18" t="str">
        <f>Table1[[#This Row],[Portico_Specialty]]&amp;"-"&amp;Table1[[#This Row],[Code]]</f>
        <v>Developmental Therapist-222Q00000X</v>
      </c>
      <c r="U221" s="16" t="str">
        <f ca="1">IFERROR(VLOOKUP(ROWS($U$1:U220),$R$2:$S$918,2,FALSE),"")</f>
        <v>Developmental Therapist-222Q00000X</v>
      </c>
    </row>
    <row r="222" spans="1:21" x14ac:dyDescent="0.3">
      <c r="A222" s="21" t="s">
        <v>265</v>
      </c>
      <c r="B222" s="21" t="str">
        <f>Table1[[#This Row],[Code]]&amp;" "&amp;Table1[[#This Row],[Portico_Specialty]]</f>
        <v>132700000X Dietary Manager</v>
      </c>
      <c r="C222" s="21" t="str">
        <f>CLEAN(Table1[[#This Row],[Code]])</f>
        <v>132700000X</v>
      </c>
      <c r="D222" s="1" t="s">
        <v>266</v>
      </c>
      <c r="E222" s="1"/>
      <c r="F222" s="1" t="s">
        <v>2587</v>
      </c>
      <c r="G222" s="3" t="s">
        <v>2588</v>
      </c>
      <c r="H222" s="1" t="s">
        <v>2696</v>
      </c>
      <c r="I222" s="1"/>
      <c r="J222" s="1" t="s">
        <v>2590</v>
      </c>
      <c r="K222" s="1" t="s">
        <v>2696</v>
      </c>
      <c r="L222" s="1" t="s">
        <v>2696</v>
      </c>
      <c r="M222" s="1"/>
      <c r="N222" s="1"/>
      <c r="O222" s="1" t="s">
        <v>2696</v>
      </c>
      <c r="P222" s="9"/>
      <c r="R222" s="16">
        <f ca="1">IF(ISNUMBER(SEARCH(INDIRECT(CELL("address")),S222)),MAX($R$1:R221)+1,0)</f>
        <v>221</v>
      </c>
      <c r="S222" s="18" t="str">
        <f>Table1[[#This Row],[Portico_Specialty]]&amp;"-"&amp;Table1[[#This Row],[Code]]</f>
        <v>Dietary Manager-132700000X</v>
      </c>
      <c r="U222" s="16" t="str">
        <f ca="1">IFERROR(VLOOKUP(ROWS($U$1:U221),$R$2:$S$918,2,FALSE),"")</f>
        <v>Dietary Manager-132700000X</v>
      </c>
    </row>
    <row r="223" spans="1:21" x14ac:dyDescent="0.3">
      <c r="A223" s="21" t="s">
        <v>289</v>
      </c>
      <c r="B223" s="21" t="str">
        <f>Table1[[#This Row],[Code]]&amp;" "&amp;Table1[[#This Row],[Portico_Specialty]]</f>
        <v>136A00000X Dietetic Technician, Registered</v>
      </c>
      <c r="C223" s="21" t="str">
        <f>CLEAN(Table1[[#This Row],[Code]])</f>
        <v>136A00000X</v>
      </c>
      <c r="D223" s="1" t="s">
        <v>290</v>
      </c>
      <c r="E223" s="1"/>
      <c r="F223" s="1" t="s">
        <v>2587</v>
      </c>
      <c r="G223" s="3" t="s">
        <v>2588</v>
      </c>
      <c r="H223" s="1" t="s">
        <v>2696</v>
      </c>
      <c r="I223" s="1"/>
      <c r="J223" s="1" t="s">
        <v>2590</v>
      </c>
      <c r="K223" s="1" t="s">
        <v>2696</v>
      </c>
      <c r="L223" s="1" t="s">
        <v>2696</v>
      </c>
      <c r="M223" s="1"/>
      <c r="N223" s="1"/>
      <c r="O223" s="1" t="s">
        <v>2696</v>
      </c>
      <c r="P223" s="9"/>
      <c r="R223" s="16">
        <f ca="1">IF(ISNUMBER(SEARCH(INDIRECT(CELL("address")),S223)),MAX($R$1:R222)+1,0)</f>
        <v>222</v>
      </c>
      <c r="S223" s="18" t="str">
        <f>Table1[[#This Row],[Portico_Specialty]]&amp;"-"&amp;Table1[[#This Row],[Code]]</f>
        <v>Dietetic Technician, Registered-136A00000X</v>
      </c>
      <c r="U223" s="16" t="str">
        <f ca="1">IFERROR(VLOOKUP(ROWS($U$1:U222),$R$2:$S$918,2,FALSE),"")</f>
        <v>Dietetic Technician, Registered-136A00000X</v>
      </c>
    </row>
    <row r="224" spans="1:21" x14ac:dyDescent="0.3">
      <c r="A224" s="21" t="s">
        <v>271</v>
      </c>
      <c r="B224" s="21" t="str">
        <f>Table1[[#This Row],[Code]]&amp;" "&amp;Table1[[#This Row],[Portico_Specialty]]</f>
        <v>133V00000X Dietitian, Registered</v>
      </c>
      <c r="C224" s="21" t="str">
        <f>CLEAN(Table1[[#This Row],[Code]])</f>
        <v>133V00000X</v>
      </c>
      <c r="D224" s="1" t="s">
        <v>272</v>
      </c>
      <c r="E224" s="1"/>
      <c r="F224" s="1" t="s">
        <v>2587</v>
      </c>
      <c r="G224" s="4" t="s">
        <v>2593</v>
      </c>
      <c r="H224" s="1" t="s">
        <v>2697</v>
      </c>
      <c r="I224" s="1"/>
      <c r="J224" s="1" t="s">
        <v>2697</v>
      </c>
      <c r="K224" s="1" t="s">
        <v>2696</v>
      </c>
      <c r="L224" s="1" t="s">
        <v>2697</v>
      </c>
      <c r="M224" s="1" t="s">
        <v>2697</v>
      </c>
      <c r="N224" s="1" t="s">
        <v>2697</v>
      </c>
      <c r="O224" s="1" t="s">
        <v>2696</v>
      </c>
      <c r="P224" s="9"/>
      <c r="R224" s="16">
        <f ca="1">IF(ISNUMBER(SEARCH(INDIRECT(CELL("address")),S224)),MAX($R$1:R223)+1,0)</f>
        <v>223</v>
      </c>
      <c r="S224" s="18" t="str">
        <f>Table1[[#This Row],[Portico_Specialty]]&amp;"-"&amp;Table1[[#This Row],[Code]]</f>
        <v>Dietitian, Registered-133V00000X</v>
      </c>
      <c r="U224" s="16" t="str">
        <f ca="1">IFERROR(VLOOKUP(ROWS($U$1:U223),$R$2:$S$918,2,FALSE),"")</f>
        <v>Dietitian, Registered-133V00000X</v>
      </c>
    </row>
    <row r="225" spans="1:21" x14ac:dyDescent="0.3">
      <c r="A225" s="21" t="s">
        <v>277</v>
      </c>
      <c r="B225" s="21" t="str">
        <f>Table1[[#This Row],[Code]]&amp;" "&amp;Table1[[#This Row],[Portico_Specialty]]</f>
        <v>133VN1006X Dietitian, Registered: Nutrition, Metabolic</v>
      </c>
      <c r="C225" s="21" t="str">
        <f>CLEAN(Table1[[#This Row],[Code]])</f>
        <v>133VN1006X</v>
      </c>
      <c r="D225" s="1" t="s">
        <v>278</v>
      </c>
      <c r="E225" s="1"/>
      <c r="F225" s="1" t="s">
        <v>2587</v>
      </c>
      <c r="G225" s="4" t="s">
        <v>2593</v>
      </c>
      <c r="H225" s="1" t="s">
        <v>2697</v>
      </c>
      <c r="I225" s="1"/>
      <c r="J225" s="1" t="s">
        <v>2697</v>
      </c>
      <c r="K225" s="1" t="s">
        <v>2696</v>
      </c>
      <c r="L225" s="1" t="s">
        <v>2697</v>
      </c>
      <c r="M225" s="1" t="s">
        <v>2697</v>
      </c>
      <c r="N225" s="1" t="s">
        <v>2697</v>
      </c>
      <c r="O225" s="1" t="s">
        <v>2696</v>
      </c>
      <c r="P225" s="9"/>
      <c r="R225" s="16">
        <f ca="1">IF(ISNUMBER(SEARCH(INDIRECT(CELL("address")),S225)),MAX($R$1:R224)+1,0)</f>
        <v>224</v>
      </c>
      <c r="S225" s="18" t="str">
        <f>Table1[[#This Row],[Portico_Specialty]]&amp;"-"&amp;Table1[[#This Row],[Code]]</f>
        <v>Dietitian, Registered: Nutrition, Metabolic-133VN1006X</v>
      </c>
      <c r="U225" s="16" t="str">
        <f ca="1">IFERROR(VLOOKUP(ROWS($U$1:U224),$R$2:$S$918,2,FALSE),"")</f>
        <v>Dietitian, Registered: Nutrition, Metabolic-133VN1006X</v>
      </c>
    </row>
    <row r="226" spans="1:21" x14ac:dyDescent="0.3">
      <c r="A226" s="21" t="s">
        <v>273</v>
      </c>
      <c r="B226" s="21" t="str">
        <f>Table1[[#This Row],[Code]]&amp;" "&amp;Table1[[#This Row],[Portico_Specialty]]</f>
        <v>133VN1004X Dietitian, Registered: Nutrition, Pediatric</v>
      </c>
      <c r="C226" s="21" t="str">
        <f>CLEAN(Table1[[#This Row],[Code]])</f>
        <v>133VN1004X</v>
      </c>
      <c r="D226" s="1" t="s">
        <v>274</v>
      </c>
      <c r="E226" s="1"/>
      <c r="F226" s="1" t="s">
        <v>2587</v>
      </c>
      <c r="G226" s="4" t="s">
        <v>2593</v>
      </c>
      <c r="H226" s="1" t="s">
        <v>2697</v>
      </c>
      <c r="I226" s="1"/>
      <c r="J226" s="1" t="s">
        <v>2697</v>
      </c>
      <c r="K226" s="1" t="s">
        <v>2696</v>
      </c>
      <c r="L226" s="1" t="s">
        <v>2697</v>
      </c>
      <c r="M226" s="1" t="s">
        <v>2697</v>
      </c>
      <c r="N226" s="1" t="s">
        <v>2697</v>
      </c>
      <c r="O226" s="1" t="s">
        <v>2696</v>
      </c>
      <c r="P226" s="9"/>
      <c r="R226" s="16">
        <f ca="1">IF(ISNUMBER(SEARCH(INDIRECT(CELL("address")),S226)),MAX($R$1:R225)+1,0)</f>
        <v>225</v>
      </c>
      <c r="S226" s="18" t="str">
        <f>Table1[[#This Row],[Portico_Specialty]]&amp;"-"&amp;Table1[[#This Row],[Code]]</f>
        <v>Dietitian, Registered: Nutrition, Pediatric-133VN1004X</v>
      </c>
      <c r="U226" s="16" t="str">
        <f ca="1">IFERROR(VLOOKUP(ROWS($U$1:U225),$R$2:$S$918,2,FALSE),"")</f>
        <v>Dietitian, Registered: Nutrition, Pediatric-133VN1004X</v>
      </c>
    </row>
    <row r="227" spans="1:21" x14ac:dyDescent="0.3">
      <c r="A227" s="21" t="s">
        <v>275</v>
      </c>
      <c r="B227" s="21" t="str">
        <f>Table1[[#This Row],[Code]]&amp;" "&amp;Table1[[#This Row],[Portico_Specialty]]</f>
        <v>133VN1005X Dietitian, Registered: Nutrition, Renal</v>
      </c>
      <c r="C227" s="21" t="str">
        <f>CLEAN(Table1[[#This Row],[Code]])</f>
        <v>133VN1005X</v>
      </c>
      <c r="D227" s="1" t="s">
        <v>276</v>
      </c>
      <c r="E227" s="1"/>
      <c r="F227" s="1" t="s">
        <v>2587</v>
      </c>
      <c r="G227" s="4" t="s">
        <v>2593</v>
      </c>
      <c r="H227" s="1" t="s">
        <v>2697</v>
      </c>
      <c r="I227" s="1"/>
      <c r="J227" s="1" t="s">
        <v>2697</v>
      </c>
      <c r="K227" s="1" t="s">
        <v>2696</v>
      </c>
      <c r="L227" s="1" t="s">
        <v>2697</v>
      </c>
      <c r="M227" s="1" t="s">
        <v>2697</v>
      </c>
      <c r="N227" s="1" t="s">
        <v>2697</v>
      </c>
      <c r="O227" s="1" t="s">
        <v>2696</v>
      </c>
      <c r="P227" s="9"/>
      <c r="R227" s="16">
        <f ca="1">IF(ISNUMBER(SEARCH(INDIRECT(CELL("address")),S227)),MAX($R$1:R226)+1,0)</f>
        <v>226</v>
      </c>
      <c r="S227" s="18" t="str">
        <f>Table1[[#This Row],[Portico_Specialty]]&amp;"-"&amp;Table1[[#This Row],[Code]]</f>
        <v>Dietitian, Registered: Nutrition, Renal-133VN1005X</v>
      </c>
      <c r="U227" s="16" t="str">
        <f ca="1">IFERROR(VLOOKUP(ROWS($U$1:U226),$R$2:$S$918,2,FALSE),"")</f>
        <v>Dietitian, Registered: Nutrition, Renal-133VN1005X</v>
      </c>
    </row>
    <row r="228" spans="1:21" x14ac:dyDescent="0.3">
      <c r="A228" s="21" t="s">
        <v>1813</v>
      </c>
      <c r="B228" s="21" t="str">
        <f>Table1[[#This Row],[Code]]&amp;" "&amp;Table1[[#This Row],[Portico_Specialty]]</f>
        <v>374J00000X Doula</v>
      </c>
      <c r="C228" s="21" t="str">
        <f>CLEAN(Table1[[#This Row],[Code]])</f>
        <v>374J00000X</v>
      </c>
      <c r="D228" s="1" t="s">
        <v>1814</v>
      </c>
      <c r="E228" s="1"/>
      <c r="F228" s="1" t="s">
        <v>2587</v>
      </c>
      <c r="G228" s="3" t="s">
        <v>2588</v>
      </c>
      <c r="H228" s="1" t="s">
        <v>2615</v>
      </c>
      <c r="I228" s="1"/>
      <c r="J228" s="1" t="s">
        <v>2590</v>
      </c>
      <c r="K228" s="1" t="s">
        <v>2594</v>
      </c>
      <c r="L228" s="1"/>
      <c r="M228" s="1"/>
      <c r="N228" s="1"/>
      <c r="O228" s="1" t="s">
        <v>2594</v>
      </c>
      <c r="P228" s="9"/>
      <c r="R228" s="16">
        <f ca="1">IF(ISNUMBER(SEARCH(INDIRECT(CELL("address")),S228)),MAX($R$1:R227)+1,0)</f>
        <v>227</v>
      </c>
      <c r="S228" s="18" t="str">
        <f>Table1[[#This Row],[Portico_Specialty]]&amp;"-"&amp;Table1[[#This Row],[Code]]</f>
        <v>Doula-374J00000X</v>
      </c>
      <c r="U228" s="16" t="str">
        <f ca="1">IFERROR(VLOOKUP(ROWS($U$1:U227),$R$2:$S$918,2,FALSE),"")</f>
        <v>Doula-374J00000X</v>
      </c>
    </row>
    <row r="229" spans="1:21" x14ac:dyDescent="0.3">
      <c r="A229" s="21" t="s">
        <v>463</v>
      </c>
      <c r="B229" s="21" t="str">
        <f>Table1[[#This Row],[Code]]&amp;" "&amp;Table1[[#This Row],[Portico_Specialty]]</f>
        <v>172A00000X Driver</v>
      </c>
      <c r="C229" s="21" t="str">
        <f>CLEAN(Table1[[#This Row],[Code]])</f>
        <v>172A00000X</v>
      </c>
      <c r="D229" s="1" t="s">
        <v>464</v>
      </c>
      <c r="E229" s="1"/>
      <c r="F229" s="1" t="s">
        <v>2587</v>
      </c>
      <c r="G229" s="3" t="s">
        <v>2588</v>
      </c>
      <c r="H229" s="1" t="s">
        <v>2595</v>
      </c>
      <c r="I229" s="1"/>
      <c r="J229" s="1" t="s">
        <v>2590</v>
      </c>
      <c r="K229" s="1" t="s">
        <v>2596</v>
      </c>
      <c r="L229" s="1" t="s">
        <v>2595</v>
      </c>
      <c r="M229" s="1"/>
      <c r="N229" s="1"/>
      <c r="O229" s="1" t="s">
        <v>2596</v>
      </c>
      <c r="P229" s="9"/>
      <c r="R229" s="16">
        <f ca="1">IF(ISNUMBER(SEARCH(INDIRECT(CELL("address")),S229)),MAX($R$1:R228)+1,0)</f>
        <v>228</v>
      </c>
      <c r="S229" s="18" t="str">
        <f>Table1[[#This Row],[Portico_Specialty]]&amp;"-"&amp;Table1[[#This Row],[Code]]</f>
        <v>Driver-172A00000X</v>
      </c>
      <c r="U229" s="16" t="str">
        <f ca="1">IFERROR(VLOOKUP(ROWS($U$1:U228),$R$2:$S$918,2,FALSE),"")</f>
        <v>Driver-172A00000X</v>
      </c>
    </row>
    <row r="230" spans="1:21" ht="30.75" x14ac:dyDescent="0.3">
      <c r="A230" s="21" t="s">
        <v>1599</v>
      </c>
      <c r="B230" s="21" t="str">
        <f>Table1[[#This Row],[Code]]&amp;" "&amp;Table1[[#This Row],[Portico_Specialty]]</f>
        <v>332B00000X Durable Medical Equipment &amp; Medical Supplies</v>
      </c>
      <c r="C230" s="21" t="str">
        <f>CLEAN(Table1[[#This Row],[Code]])</f>
        <v>332B00000X</v>
      </c>
      <c r="D230" s="1" t="s">
        <v>1600</v>
      </c>
      <c r="E230" s="1"/>
      <c r="F230" s="1" t="s">
        <v>2587</v>
      </c>
      <c r="G230" s="4" t="s">
        <v>2593</v>
      </c>
      <c r="H230" s="1" t="s">
        <v>2698</v>
      </c>
      <c r="I230" s="1"/>
      <c r="J230" s="1" t="s">
        <v>2698</v>
      </c>
      <c r="K230" s="1" t="s">
        <v>2698</v>
      </c>
      <c r="L230" s="1" t="s">
        <v>2698</v>
      </c>
      <c r="M230" s="1" t="s">
        <v>2698</v>
      </c>
      <c r="N230" s="1" t="s">
        <v>2699</v>
      </c>
      <c r="O230" s="1" t="s">
        <v>2698</v>
      </c>
      <c r="P230" s="9"/>
      <c r="R230" s="16">
        <f ca="1">IF(ISNUMBER(SEARCH(INDIRECT(CELL("address")),S230)),MAX($R$1:R229)+1,0)</f>
        <v>229</v>
      </c>
      <c r="S230" s="18" t="str">
        <f>Table1[[#This Row],[Portico_Specialty]]&amp;"-"&amp;Table1[[#This Row],[Code]]</f>
        <v>Durable Medical Equipment &amp; Medical Supplies-332B00000X</v>
      </c>
      <c r="U230" s="16" t="str">
        <f ca="1">IFERROR(VLOOKUP(ROWS($U$1:U229),$R$2:$S$918,2,FALSE),"")</f>
        <v>Durable Medical Equipment &amp; Medical Supplies-332B00000X</v>
      </c>
    </row>
    <row r="231" spans="1:21" ht="30.75" x14ac:dyDescent="0.3">
      <c r="A231" s="21" t="s">
        <v>1601</v>
      </c>
      <c r="B231" s="21" t="str">
        <f>Table1[[#This Row],[Code]]&amp;" "&amp;Table1[[#This Row],[Portico_Specialty]]</f>
        <v>332BC3200X Durable Medical Equipment &amp; Medical Supplies: Customized Equipment</v>
      </c>
      <c r="C231" s="21" t="str">
        <f>CLEAN(Table1[[#This Row],[Code]])</f>
        <v>332BC3200X</v>
      </c>
      <c r="D231" s="1" t="s">
        <v>1602</v>
      </c>
      <c r="E231" s="1"/>
      <c r="F231" s="1" t="s">
        <v>2587</v>
      </c>
      <c r="G231" s="3" t="s">
        <v>2588</v>
      </c>
      <c r="H231" s="1" t="s">
        <v>2698</v>
      </c>
      <c r="I231" s="1"/>
      <c r="J231" s="1" t="s">
        <v>2698</v>
      </c>
      <c r="K231" s="1" t="s">
        <v>2698</v>
      </c>
      <c r="L231" s="1" t="s">
        <v>2698</v>
      </c>
      <c r="M231" s="1" t="s">
        <v>2698</v>
      </c>
      <c r="N231" s="1" t="s">
        <v>2700</v>
      </c>
      <c r="O231" s="1" t="s">
        <v>2698</v>
      </c>
      <c r="P231" s="9"/>
      <c r="R231" s="16">
        <f ca="1">IF(ISNUMBER(SEARCH(INDIRECT(CELL("address")),S231)),MAX($R$1:R230)+1,0)</f>
        <v>230</v>
      </c>
      <c r="S231" s="18" t="str">
        <f>Table1[[#This Row],[Portico_Specialty]]&amp;"-"&amp;Table1[[#This Row],[Code]]</f>
        <v>Durable Medical Equipment &amp; Medical Supplies: Customized Equipment-332BC3200X</v>
      </c>
      <c r="U231" s="16" t="str">
        <f ca="1">IFERROR(VLOOKUP(ROWS($U$1:U230),$R$2:$S$918,2,FALSE),"")</f>
        <v>Durable Medical Equipment &amp; Medical Supplies: Customized Equipment-332BC3200X</v>
      </c>
    </row>
    <row r="232" spans="1:21" ht="30.75" x14ac:dyDescent="0.3">
      <c r="A232" s="21" t="s">
        <v>1603</v>
      </c>
      <c r="B232" s="21" t="str">
        <f>Table1[[#This Row],[Code]]&amp;" "&amp;Table1[[#This Row],[Portico_Specialty]]</f>
        <v>332BD1200X Durable Medical Equipment &amp; Medical Supplies: Dialysis Equipment &amp; Supplies</v>
      </c>
      <c r="C232" s="21" t="str">
        <f>CLEAN(Table1[[#This Row],[Code]])</f>
        <v>332BD1200X</v>
      </c>
      <c r="D232" s="1" t="s">
        <v>1604</v>
      </c>
      <c r="E232" s="1"/>
      <c r="F232" s="1" t="s">
        <v>2587</v>
      </c>
      <c r="G232" s="3" t="s">
        <v>2588</v>
      </c>
      <c r="H232" s="1" t="s">
        <v>2698</v>
      </c>
      <c r="I232" s="1"/>
      <c r="J232" s="1" t="s">
        <v>2698</v>
      </c>
      <c r="K232" s="1" t="s">
        <v>2698</v>
      </c>
      <c r="L232" s="1" t="s">
        <v>2698</v>
      </c>
      <c r="M232" s="1" t="s">
        <v>2698</v>
      </c>
      <c r="N232" s="1" t="s">
        <v>2699</v>
      </c>
      <c r="O232" s="1" t="s">
        <v>2698</v>
      </c>
      <c r="P232" s="9"/>
      <c r="R232" s="16">
        <f ca="1">IF(ISNUMBER(SEARCH(INDIRECT(CELL("address")),S232)),MAX($R$1:R231)+1,0)</f>
        <v>231</v>
      </c>
      <c r="S232" s="18" t="str">
        <f>Table1[[#This Row],[Portico_Specialty]]&amp;"-"&amp;Table1[[#This Row],[Code]]</f>
        <v>Durable Medical Equipment &amp; Medical Supplies: Dialysis Equipment &amp; Supplies-332BD1200X</v>
      </c>
      <c r="U232" s="16" t="str">
        <f ca="1">IFERROR(VLOOKUP(ROWS($U$1:U231),$R$2:$S$918,2,FALSE),"")</f>
        <v>Durable Medical Equipment &amp; Medical Supplies: Dialysis Equipment &amp; Supplies-332BD1200X</v>
      </c>
    </row>
    <row r="233" spans="1:21" ht="30.75" x14ac:dyDescent="0.3">
      <c r="A233" s="21" t="s">
        <v>1605</v>
      </c>
      <c r="B233" s="21" t="str">
        <f>Table1[[#This Row],[Code]]&amp;" "&amp;Table1[[#This Row],[Portico_Specialty]]</f>
        <v>332BN1400X Durable Medical Equipment &amp; Medical Supplies: Nursing Facility Supplies</v>
      </c>
      <c r="C233" s="21" t="str">
        <f>CLEAN(Table1[[#This Row],[Code]])</f>
        <v>332BN1400X</v>
      </c>
      <c r="D233" s="1" t="s">
        <v>1606</v>
      </c>
      <c r="E233" s="1"/>
      <c r="F233" s="1" t="s">
        <v>2587</v>
      </c>
      <c r="G233" s="3" t="s">
        <v>2588</v>
      </c>
      <c r="H233" s="1" t="s">
        <v>2698</v>
      </c>
      <c r="I233" s="1"/>
      <c r="J233" s="1" t="s">
        <v>2698</v>
      </c>
      <c r="K233" s="1" t="s">
        <v>2698</v>
      </c>
      <c r="L233" s="1" t="s">
        <v>2698</v>
      </c>
      <c r="M233" s="1" t="s">
        <v>2698</v>
      </c>
      <c r="N233" s="1" t="s">
        <v>2699</v>
      </c>
      <c r="O233" s="1" t="s">
        <v>2698</v>
      </c>
      <c r="P233" s="9"/>
      <c r="R233" s="16">
        <f ca="1">IF(ISNUMBER(SEARCH(INDIRECT(CELL("address")),S233)),MAX($R$1:R232)+1,0)</f>
        <v>232</v>
      </c>
      <c r="S233" s="18" t="str">
        <f>Table1[[#This Row],[Portico_Specialty]]&amp;"-"&amp;Table1[[#This Row],[Code]]</f>
        <v>Durable Medical Equipment &amp; Medical Supplies: Nursing Facility Supplies-332BN1400X</v>
      </c>
      <c r="U233" s="16" t="str">
        <f ca="1">IFERROR(VLOOKUP(ROWS($U$1:U232),$R$2:$S$918,2,FALSE),"")</f>
        <v>Durable Medical Equipment &amp; Medical Supplies: Nursing Facility Supplies-332BN1400X</v>
      </c>
    </row>
    <row r="234" spans="1:21" ht="30.75" x14ac:dyDescent="0.3">
      <c r="A234" s="21" t="s">
        <v>1609</v>
      </c>
      <c r="B234" s="21" t="str">
        <f>Table1[[#This Row],[Code]]&amp;" "&amp;Table1[[#This Row],[Portico_Specialty]]</f>
        <v>332BX2000X Durable Medical Equipment &amp; Medical Supplies: Oxygen Equipment &amp; Supplies</v>
      </c>
      <c r="C234" s="21" t="str">
        <f>CLEAN(Table1[[#This Row],[Code]])</f>
        <v>332BX2000X</v>
      </c>
      <c r="D234" s="1" t="s">
        <v>1610</v>
      </c>
      <c r="E234" s="1"/>
      <c r="F234" s="1" t="s">
        <v>2587</v>
      </c>
      <c r="G234" s="4" t="s">
        <v>2593</v>
      </c>
      <c r="H234" s="1" t="s">
        <v>2698</v>
      </c>
      <c r="I234" s="1"/>
      <c r="J234" s="1" t="s">
        <v>2698</v>
      </c>
      <c r="K234" s="1" t="s">
        <v>2698</v>
      </c>
      <c r="L234" s="1" t="s">
        <v>2698</v>
      </c>
      <c r="M234" s="1" t="s">
        <v>2698</v>
      </c>
      <c r="N234" s="1" t="s">
        <v>2699</v>
      </c>
      <c r="O234" s="1" t="s">
        <v>2698</v>
      </c>
      <c r="P234" s="9"/>
      <c r="R234" s="16">
        <f ca="1">IF(ISNUMBER(SEARCH(INDIRECT(CELL("address")),S234)),MAX($R$1:R233)+1,0)</f>
        <v>233</v>
      </c>
      <c r="S234" s="18" t="str">
        <f>Table1[[#This Row],[Portico_Specialty]]&amp;"-"&amp;Table1[[#This Row],[Code]]</f>
        <v>Durable Medical Equipment &amp; Medical Supplies: Oxygen Equipment &amp; Supplies-332BX2000X</v>
      </c>
      <c r="U234" s="16" t="str">
        <f ca="1">IFERROR(VLOOKUP(ROWS($U$1:U233),$R$2:$S$918,2,FALSE),"")</f>
        <v>Durable Medical Equipment &amp; Medical Supplies: Oxygen Equipment &amp; Supplies-332BX2000X</v>
      </c>
    </row>
    <row r="235" spans="1:21" ht="30.75" x14ac:dyDescent="0.3">
      <c r="A235" s="21" t="s">
        <v>1607</v>
      </c>
      <c r="B235" s="21" t="str">
        <f>Table1[[#This Row],[Code]]&amp;" "&amp;Table1[[#This Row],[Portico_Specialty]]</f>
        <v>332BP3500X Durable Medical Equipment &amp; Medical Supplies: Parenteral &amp; Enteral Nutrition</v>
      </c>
      <c r="C235" s="21" t="str">
        <f>CLEAN(Table1[[#This Row],[Code]])</f>
        <v>332BP3500X</v>
      </c>
      <c r="D235" s="1" t="s">
        <v>1608</v>
      </c>
      <c r="E235" s="1"/>
      <c r="F235" s="1" t="s">
        <v>2587</v>
      </c>
      <c r="G235" s="3" t="s">
        <v>2588</v>
      </c>
      <c r="H235" s="1" t="s">
        <v>2698</v>
      </c>
      <c r="I235" s="1"/>
      <c r="J235" s="1" t="s">
        <v>2698</v>
      </c>
      <c r="K235" s="1" t="s">
        <v>2698</v>
      </c>
      <c r="L235" s="1" t="s">
        <v>2698</v>
      </c>
      <c r="M235" s="1" t="s">
        <v>2698</v>
      </c>
      <c r="N235" s="1" t="s">
        <v>2699</v>
      </c>
      <c r="O235" s="1" t="s">
        <v>2698</v>
      </c>
      <c r="P235" s="9"/>
      <c r="R235" s="16">
        <f ca="1">IF(ISNUMBER(SEARCH(INDIRECT(CELL("address")),S235)),MAX($R$1:R234)+1,0)</f>
        <v>234</v>
      </c>
      <c r="S235" s="18" t="str">
        <f>Table1[[#This Row],[Portico_Specialty]]&amp;"-"&amp;Table1[[#This Row],[Code]]</f>
        <v>Durable Medical Equipment &amp; Medical Supplies: Parenteral &amp; Enteral Nutrition-332BP3500X</v>
      </c>
      <c r="U235" s="16" t="str">
        <f ca="1">IFERROR(VLOOKUP(ROWS($U$1:U234),$R$2:$S$918,2,FALSE),"")</f>
        <v>Durable Medical Equipment &amp; Medical Supplies: Parenteral &amp; Enteral Nutrition-332BP3500X</v>
      </c>
    </row>
    <row r="236" spans="1:21" x14ac:dyDescent="0.3">
      <c r="A236" s="21" t="s">
        <v>1353</v>
      </c>
      <c r="B236" s="21" t="str">
        <f>Table1[[#This Row],[Code]]&amp;" "&amp;Table1[[#This Row],[Portico_Specialty]]</f>
        <v>252Y00000X Early Intervention Provider Agency</v>
      </c>
      <c r="C236" s="21" t="str">
        <f>CLEAN(Table1[[#This Row],[Code]])</f>
        <v>252Y00000X</v>
      </c>
      <c r="D236" s="1" t="s">
        <v>1354</v>
      </c>
      <c r="E236" s="1"/>
      <c r="F236" s="1" t="s">
        <v>2587</v>
      </c>
      <c r="G236" s="3" t="s">
        <v>2588</v>
      </c>
      <c r="H236" s="1" t="s">
        <v>2591</v>
      </c>
      <c r="I236" s="1"/>
      <c r="J236" s="1" t="s">
        <v>2590</v>
      </c>
      <c r="K236" s="1" t="s">
        <v>2621</v>
      </c>
      <c r="L236" s="1"/>
      <c r="M236" s="1"/>
      <c r="N236" s="1" t="s">
        <v>2623</v>
      </c>
      <c r="O236" s="1" t="s">
        <v>2621</v>
      </c>
      <c r="P236" s="9"/>
      <c r="R236" s="16">
        <f ca="1">IF(ISNUMBER(SEARCH(INDIRECT(CELL("address")),S236)),MAX($R$1:R235)+1,0)</f>
        <v>235</v>
      </c>
      <c r="S236" s="18" t="str">
        <f>Table1[[#This Row],[Portico_Specialty]]&amp;"-"&amp;Table1[[#This Row],[Code]]</f>
        <v>Early Intervention Provider Agency-252Y00000X</v>
      </c>
      <c r="U236" s="16" t="str">
        <f ca="1">IFERROR(VLOOKUP(ROWS($U$1:U235),$R$2:$S$918,2,FALSE),"")</f>
        <v>Early Intervention Provider Agency-252Y00000X</v>
      </c>
    </row>
    <row r="237" spans="1:21" x14ac:dyDescent="0.3">
      <c r="A237" s="21" t="s">
        <v>555</v>
      </c>
      <c r="B237" s="21" t="str">
        <f>Table1[[#This Row],[Code]]&amp;" "&amp;Table1[[#This Row],[Portico_Specialty]]</f>
        <v>204R00000X Electrodiagnostic Medicine</v>
      </c>
      <c r="C237" s="21" t="str">
        <f>CLEAN(Table1[[#This Row],[Code]])</f>
        <v>204R00000X</v>
      </c>
      <c r="D237" s="1" t="s">
        <v>556</v>
      </c>
      <c r="E237" s="1"/>
      <c r="F237" s="1" t="s">
        <v>2587</v>
      </c>
      <c r="G237" s="3" t="s">
        <v>2588</v>
      </c>
      <c r="H237" s="1" t="s">
        <v>2615</v>
      </c>
      <c r="I237" s="1"/>
      <c r="J237" s="1" t="s">
        <v>2590</v>
      </c>
      <c r="K237" s="1" t="s">
        <v>2701</v>
      </c>
      <c r="L237" s="1" t="s">
        <v>2590</v>
      </c>
      <c r="M237" s="1" t="s">
        <v>2615</v>
      </c>
      <c r="N237" s="1"/>
      <c r="O237" s="1" t="s">
        <v>2701</v>
      </c>
      <c r="P237" s="9"/>
      <c r="R237" s="16">
        <f ca="1">IF(ISNUMBER(SEARCH(INDIRECT(CELL("address")),S237)),MAX($R$1:R236)+1,0)</f>
        <v>236</v>
      </c>
      <c r="S237" s="18" t="str">
        <f>Table1[[#This Row],[Portico_Specialty]]&amp;"-"&amp;Table1[[#This Row],[Code]]</f>
        <v>Electrodiagnostic Medicine-204R00000X</v>
      </c>
      <c r="U237" s="16" t="str">
        <f ca="1">IFERROR(VLOOKUP(ROWS($U$1:U236),$R$2:$S$918,2,FALSE),"")</f>
        <v>Electrodiagnostic Medicine-204R00000X</v>
      </c>
    </row>
    <row r="238" spans="1:21" x14ac:dyDescent="0.3">
      <c r="A238" s="21" t="s">
        <v>297</v>
      </c>
      <c r="B238" s="21" t="str">
        <f>Table1[[#This Row],[Code]]&amp;" "&amp;Table1[[#This Row],[Portico_Specialty]]</f>
        <v>146N00000X Emergency Medical Technician, Basic</v>
      </c>
      <c r="C238" s="21" t="str">
        <f>CLEAN(Table1[[#This Row],[Code]])</f>
        <v>146N00000X</v>
      </c>
      <c r="D238" s="1" t="s">
        <v>298</v>
      </c>
      <c r="E238" s="1"/>
      <c r="F238" s="1" t="s">
        <v>2587</v>
      </c>
      <c r="G238" s="3" t="s">
        <v>2588</v>
      </c>
      <c r="H238" s="1" t="s">
        <v>2615</v>
      </c>
      <c r="I238" s="1"/>
      <c r="J238" s="1" t="s">
        <v>2590</v>
      </c>
      <c r="K238" s="1" t="s">
        <v>2702</v>
      </c>
      <c r="L238" s="1" t="s">
        <v>2615</v>
      </c>
      <c r="M238" s="1" t="s">
        <v>2615</v>
      </c>
      <c r="N238" s="1"/>
      <c r="O238" s="1" t="s">
        <v>2702</v>
      </c>
      <c r="P238" s="9"/>
      <c r="R238" s="16">
        <f ca="1">IF(ISNUMBER(SEARCH(INDIRECT(CELL("address")),S238)),MAX($R$1:R237)+1,0)</f>
        <v>237</v>
      </c>
      <c r="S238" s="18" t="str">
        <f>Table1[[#This Row],[Portico_Specialty]]&amp;"-"&amp;Table1[[#This Row],[Code]]</f>
        <v>Emergency Medical Technician, Basic-146N00000X</v>
      </c>
      <c r="U238" s="16" t="str">
        <f ca="1">IFERROR(VLOOKUP(ROWS($U$1:U237),$R$2:$S$918,2,FALSE),"")</f>
        <v>Emergency Medical Technician, Basic-146N00000X</v>
      </c>
    </row>
    <row r="239" spans="1:21" ht="30.75" x14ac:dyDescent="0.3">
      <c r="A239" s="21" t="s">
        <v>295</v>
      </c>
      <c r="B239" s="21" t="str">
        <f>Table1[[#This Row],[Code]]&amp;" "&amp;Table1[[#This Row],[Portico_Specialty]]</f>
        <v>146M00000X Emergency Medical Technician, Intermediate</v>
      </c>
      <c r="C239" s="21" t="str">
        <f>CLEAN(Table1[[#This Row],[Code]])</f>
        <v>146M00000X</v>
      </c>
      <c r="D239" s="1" t="s">
        <v>296</v>
      </c>
      <c r="E239" s="1"/>
      <c r="F239" s="1" t="s">
        <v>2587</v>
      </c>
      <c r="G239" s="3" t="s">
        <v>2588</v>
      </c>
      <c r="H239" s="1" t="s">
        <v>2615</v>
      </c>
      <c r="I239" s="1"/>
      <c r="J239" s="1" t="s">
        <v>2590</v>
      </c>
      <c r="K239" s="1" t="s">
        <v>2702</v>
      </c>
      <c r="L239" s="1" t="s">
        <v>2615</v>
      </c>
      <c r="M239" s="1"/>
      <c r="N239" s="1"/>
      <c r="O239" s="1" t="s">
        <v>2702</v>
      </c>
      <c r="P239" s="9"/>
      <c r="R239" s="16">
        <f ca="1">IF(ISNUMBER(SEARCH(INDIRECT(CELL("address")),S239)),MAX($R$1:R238)+1,0)</f>
        <v>238</v>
      </c>
      <c r="S239" s="18" t="str">
        <f>Table1[[#This Row],[Portico_Specialty]]&amp;"-"&amp;Table1[[#This Row],[Code]]</f>
        <v>Emergency Medical Technician, Intermediate-146M00000X</v>
      </c>
      <c r="U239" s="16" t="str">
        <f ca="1">IFERROR(VLOOKUP(ROWS($U$1:U238),$R$2:$S$918,2,FALSE),"")</f>
        <v>Emergency Medical Technician, Intermediate-146M00000X</v>
      </c>
    </row>
    <row r="240" spans="1:21" x14ac:dyDescent="0.3">
      <c r="A240" s="21" t="s">
        <v>293</v>
      </c>
      <c r="B240" s="21" t="str">
        <f>Table1[[#This Row],[Code]]&amp;" "&amp;Table1[[#This Row],[Portico_Specialty]]</f>
        <v>146L00000X Emergency Medical Technician, Paramedic</v>
      </c>
      <c r="C240" s="21" t="str">
        <f>CLEAN(Table1[[#This Row],[Code]])</f>
        <v>146L00000X</v>
      </c>
      <c r="D240" s="1" t="s">
        <v>294</v>
      </c>
      <c r="E240" s="1"/>
      <c r="F240" s="1" t="s">
        <v>2587</v>
      </c>
      <c r="G240" s="3" t="s">
        <v>2588</v>
      </c>
      <c r="H240" s="1" t="s">
        <v>2615</v>
      </c>
      <c r="I240" s="1"/>
      <c r="J240" s="1" t="s">
        <v>2590</v>
      </c>
      <c r="K240" s="1" t="s">
        <v>2702</v>
      </c>
      <c r="L240" s="1" t="s">
        <v>2615</v>
      </c>
      <c r="M240" s="1" t="s">
        <v>2615</v>
      </c>
      <c r="N240" s="1"/>
      <c r="O240" s="1" t="s">
        <v>2702</v>
      </c>
      <c r="P240" s="9"/>
      <c r="R240" s="16">
        <f ca="1">IF(ISNUMBER(SEARCH(INDIRECT(CELL("address")),S240)),MAX($R$1:R239)+1,0)</f>
        <v>239</v>
      </c>
      <c r="S240" s="18" t="str">
        <f>Table1[[#This Row],[Portico_Specialty]]&amp;"-"&amp;Table1[[#This Row],[Code]]</f>
        <v>Emergency Medical Technician, Paramedic-146L00000X</v>
      </c>
      <c r="U240" s="16" t="str">
        <f ca="1">IFERROR(VLOOKUP(ROWS($U$1:U239),$R$2:$S$918,2,FALSE),"")</f>
        <v>Emergency Medical Technician, Paramedic-146L00000X</v>
      </c>
    </row>
    <row r="241" spans="1:21" x14ac:dyDescent="0.3">
      <c r="A241" s="21" t="s">
        <v>587</v>
      </c>
      <c r="B241" s="21" t="str">
        <f>Table1[[#This Row],[Code]]&amp;" "&amp;Table1[[#This Row],[Portico_Specialty]]</f>
        <v>207P00000X Emergency Medicine</v>
      </c>
      <c r="C241" s="21" t="str">
        <f>CLEAN(Table1[[#This Row],[Code]])</f>
        <v>207P00000X</v>
      </c>
      <c r="D241" s="1" t="s">
        <v>588</v>
      </c>
      <c r="E241" s="1"/>
      <c r="F241" s="1" t="s">
        <v>2587</v>
      </c>
      <c r="G241" s="4" t="s">
        <v>2593</v>
      </c>
      <c r="H241" s="1" t="s">
        <v>2702</v>
      </c>
      <c r="I241" s="1"/>
      <c r="J241" s="1" t="s">
        <v>2702</v>
      </c>
      <c r="K241" s="1" t="s">
        <v>2702</v>
      </c>
      <c r="L241" s="1" t="s">
        <v>2702</v>
      </c>
      <c r="M241" s="1" t="s">
        <v>2702</v>
      </c>
      <c r="N241" s="1" t="s">
        <v>2702</v>
      </c>
      <c r="O241" s="1" t="s">
        <v>2702</v>
      </c>
      <c r="P241" s="9"/>
      <c r="R241" s="16">
        <f ca="1">IF(ISNUMBER(SEARCH(INDIRECT(CELL("address")),S241)),MAX($R$1:R240)+1,0)</f>
        <v>240</v>
      </c>
      <c r="S241" s="18" t="str">
        <f>Table1[[#This Row],[Portico_Specialty]]&amp;"-"&amp;Table1[[#This Row],[Code]]</f>
        <v>Emergency Medicine-207P00000X</v>
      </c>
      <c r="U241" s="16" t="str">
        <f ca="1">IFERROR(VLOOKUP(ROWS($U$1:U240),$R$2:$S$918,2,FALSE),"")</f>
        <v>Emergency Medicine-207P00000X</v>
      </c>
    </row>
    <row r="242" spans="1:21" ht="30.75" x14ac:dyDescent="0.3">
      <c r="A242" s="21" t="s">
        <v>589</v>
      </c>
      <c r="B242" s="21" t="str">
        <f>Table1[[#This Row],[Code]]&amp;" "&amp;Table1[[#This Row],[Portico_Specialty]]</f>
        <v>207PE0004X Emergency Medicine: Emergency Medical Services</v>
      </c>
      <c r="C242" s="21" t="str">
        <f>CLEAN(Table1[[#This Row],[Code]])</f>
        <v>207PE0004X</v>
      </c>
      <c r="D242" s="1" t="s">
        <v>590</v>
      </c>
      <c r="E242" s="1"/>
      <c r="F242" s="1" t="s">
        <v>2587</v>
      </c>
      <c r="G242" s="4" t="s">
        <v>2593</v>
      </c>
      <c r="H242" s="1" t="s">
        <v>2702</v>
      </c>
      <c r="I242" s="1"/>
      <c r="J242" s="1" t="s">
        <v>2702</v>
      </c>
      <c r="K242" s="1" t="s">
        <v>2702</v>
      </c>
      <c r="L242" s="1" t="s">
        <v>2702</v>
      </c>
      <c r="M242" s="1" t="s">
        <v>2702</v>
      </c>
      <c r="N242" s="1" t="s">
        <v>2702</v>
      </c>
      <c r="O242" s="1" t="s">
        <v>2702</v>
      </c>
      <c r="P242" s="9"/>
      <c r="R242" s="16">
        <f ca="1">IF(ISNUMBER(SEARCH(INDIRECT(CELL("address")),S242)),MAX($R$1:R241)+1,0)</f>
        <v>241</v>
      </c>
      <c r="S242" s="18" t="str">
        <f>Table1[[#This Row],[Portico_Specialty]]&amp;"-"&amp;Table1[[#This Row],[Code]]</f>
        <v>Emergency Medicine: Emergency Medical Services-207PE0004X</v>
      </c>
      <c r="U242" s="16" t="str">
        <f ca="1">IFERROR(VLOOKUP(ROWS($U$1:U241),$R$2:$S$918,2,FALSE),"")</f>
        <v>Emergency Medicine: Emergency Medical Services-207PE0004X</v>
      </c>
    </row>
    <row r="243" spans="1:21" ht="30.75" x14ac:dyDescent="0.3">
      <c r="A243" s="21" t="s">
        <v>593</v>
      </c>
      <c r="B243" s="21" t="str">
        <f>Table1[[#This Row],[Code]]&amp;" "&amp;Table1[[#This Row],[Portico_Specialty]]</f>
        <v>207PH0002X Emergency Medicine: Hospice and Palliative Medicine</v>
      </c>
      <c r="C243" s="21" t="str">
        <f>CLEAN(Table1[[#This Row],[Code]])</f>
        <v>207PH0002X</v>
      </c>
      <c r="D243" s="1" t="s">
        <v>594</v>
      </c>
      <c r="E243" s="1"/>
      <c r="F243" s="1" t="s">
        <v>2587</v>
      </c>
      <c r="G243" s="4" t="s">
        <v>2593</v>
      </c>
      <c r="H243" s="1" t="s">
        <v>2702</v>
      </c>
      <c r="I243" s="1"/>
      <c r="J243" s="1" t="s">
        <v>2702</v>
      </c>
      <c r="K243" s="1" t="s">
        <v>2702</v>
      </c>
      <c r="L243" s="1" t="s">
        <v>2702</v>
      </c>
      <c r="M243" s="1" t="s">
        <v>2702</v>
      </c>
      <c r="N243" s="1" t="s">
        <v>2702</v>
      </c>
      <c r="O243" s="1" t="s">
        <v>2702</v>
      </c>
      <c r="P243" s="9"/>
      <c r="R243" s="16">
        <f ca="1">IF(ISNUMBER(SEARCH(INDIRECT(CELL("address")),S243)),MAX($R$1:R242)+1,0)</f>
        <v>242</v>
      </c>
      <c r="S243" s="18" t="str">
        <f>Table1[[#This Row],[Portico_Specialty]]&amp;"-"&amp;Table1[[#This Row],[Code]]</f>
        <v>Emergency Medicine: Hospice and Palliative Medicine-207PH0002X</v>
      </c>
      <c r="U243" s="16" t="str">
        <f ca="1">IFERROR(VLOOKUP(ROWS($U$1:U242),$R$2:$S$918,2,FALSE),"")</f>
        <v>Emergency Medicine: Hospice and Palliative Medicine-207PH0002X</v>
      </c>
    </row>
    <row r="244" spans="1:21" x14ac:dyDescent="0.3">
      <c r="A244" s="21" t="s">
        <v>599</v>
      </c>
      <c r="B244" s="21" t="str">
        <f>Table1[[#This Row],[Code]]&amp;" "&amp;Table1[[#This Row],[Portico_Specialty]]</f>
        <v>207PT0002X Emergency Medicine: Medical Toxicology</v>
      </c>
      <c r="C244" s="21" t="str">
        <f>CLEAN(Table1[[#This Row],[Code]])</f>
        <v>207PT0002X</v>
      </c>
      <c r="D244" s="1" t="s">
        <v>600</v>
      </c>
      <c r="E244" s="1"/>
      <c r="F244" s="1" t="s">
        <v>2587</v>
      </c>
      <c r="G244" s="4" t="s">
        <v>2593</v>
      </c>
      <c r="H244" s="1" t="s">
        <v>2702</v>
      </c>
      <c r="I244" s="1"/>
      <c r="J244" s="1" t="s">
        <v>2702</v>
      </c>
      <c r="K244" s="1" t="s">
        <v>2702</v>
      </c>
      <c r="L244" s="1" t="s">
        <v>2702</v>
      </c>
      <c r="M244" s="1" t="s">
        <v>2702</v>
      </c>
      <c r="N244" s="1" t="s">
        <v>2702</v>
      </c>
      <c r="O244" s="1" t="s">
        <v>2702</v>
      </c>
      <c r="P244" s="9"/>
      <c r="R244" s="16">
        <f ca="1">IF(ISNUMBER(SEARCH(INDIRECT(CELL("address")),S244)),MAX($R$1:R243)+1,0)</f>
        <v>243</v>
      </c>
      <c r="S244" s="18" t="str">
        <f>Table1[[#This Row],[Portico_Specialty]]&amp;"-"&amp;Table1[[#This Row],[Code]]</f>
        <v>Emergency Medicine: Medical Toxicology-207PT0002X</v>
      </c>
      <c r="U244" s="16" t="str">
        <f ca="1">IFERROR(VLOOKUP(ROWS($U$1:U243),$R$2:$S$918,2,FALSE),"")</f>
        <v>Emergency Medicine: Medical Toxicology-207PT0002X</v>
      </c>
    </row>
    <row r="245" spans="1:21" ht="30.75" x14ac:dyDescent="0.3">
      <c r="A245" s="21" t="s">
        <v>595</v>
      </c>
      <c r="B245" s="21" t="str">
        <f>Table1[[#This Row],[Code]]&amp;" "&amp;Table1[[#This Row],[Portico_Specialty]]</f>
        <v>207PP0204X Emergency Medicine: Pediatric Emergency Medicine</v>
      </c>
      <c r="C245" s="21" t="str">
        <f>CLEAN(Table1[[#This Row],[Code]])</f>
        <v>207PP0204X</v>
      </c>
      <c r="D245" s="1" t="s">
        <v>596</v>
      </c>
      <c r="E245" s="1"/>
      <c r="F245" s="1" t="s">
        <v>2587</v>
      </c>
      <c r="G245" s="4" t="s">
        <v>2593</v>
      </c>
      <c r="H245" s="1" t="s">
        <v>2702</v>
      </c>
      <c r="I245" s="1"/>
      <c r="J245" s="1" t="s">
        <v>2702</v>
      </c>
      <c r="K245" s="1" t="s">
        <v>2702</v>
      </c>
      <c r="L245" s="1" t="s">
        <v>2702</v>
      </c>
      <c r="M245" s="1" t="s">
        <v>2702</v>
      </c>
      <c r="N245" s="1" t="s">
        <v>2702</v>
      </c>
      <c r="O245" s="1" t="s">
        <v>2702</v>
      </c>
      <c r="P245" s="9"/>
      <c r="R245" s="16">
        <f ca="1">IF(ISNUMBER(SEARCH(INDIRECT(CELL("address")),S245)),MAX($R$1:R244)+1,0)</f>
        <v>244</v>
      </c>
      <c r="S245" s="18" t="str">
        <f>Table1[[#This Row],[Portico_Specialty]]&amp;"-"&amp;Table1[[#This Row],[Code]]</f>
        <v>Emergency Medicine: Pediatric Emergency Medicine-207PP0204X</v>
      </c>
      <c r="U245" s="16" t="str">
        <f ca="1">IFERROR(VLOOKUP(ROWS($U$1:U244),$R$2:$S$918,2,FALSE),"")</f>
        <v>Emergency Medicine: Pediatric Emergency Medicine-207PP0204X</v>
      </c>
    </row>
    <row r="246" spans="1:21" x14ac:dyDescent="0.3">
      <c r="A246" s="21" t="s">
        <v>597</v>
      </c>
      <c r="B246" s="21" t="str">
        <f>Table1[[#This Row],[Code]]&amp;" "&amp;Table1[[#This Row],[Portico_Specialty]]</f>
        <v>207PS0010X Emergency Medicine: Sports Medicine</v>
      </c>
      <c r="C246" s="21" t="str">
        <f>CLEAN(Table1[[#This Row],[Code]])</f>
        <v>207PS0010X</v>
      </c>
      <c r="D246" s="1" t="s">
        <v>598</v>
      </c>
      <c r="E246" s="1"/>
      <c r="F246" s="1" t="s">
        <v>2587</v>
      </c>
      <c r="G246" s="4" t="s">
        <v>2593</v>
      </c>
      <c r="H246" s="1" t="s">
        <v>2702</v>
      </c>
      <c r="I246" s="1"/>
      <c r="J246" s="1" t="s">
        <v>2702</v>
      </c>
      <c r="K246" s="1" t="s">
        <v>2702</v>
      </c>
      <c r="L246" s="1" t="s">
        <v>2702</v>
      </c>
      <c r="M246" s="1" t="s">
        <v>2702</v>
      </c>
      <c r="N246" s="1" t="s">
        <v>2702</v>
      </c>
      <c r="O246" s="1" t="s">
        <v>2702</v>
      </c>
      <c r="P246" s="9"/>
      <c r="R246" s="16">
        <f ca="1">IF(ISNUMBER(SEARCH(INDIRECT(CELL("address")),S246)),MAX($R$1:R245)+1,0)</f>
        <v>245</v>
      </c>
      <c r="S246" s="18" t="str">
        <f>Table1[[#This Row],[Portico_Specialty]]&amp;"-"&amp;Table1[[#This Row],[Code]]</f>
        <v>Emergency Medicine: Sports Medicine-207PS0010X</v>
      </c>
      <c r="U246" s="16" t="str">
        <f ca="1">IFERROR(VLOOKUP(ROWS($U$1:U245),$R$2:$S$918,2,FALSE),"")</f>
        <v>Emergency Medicine: Sports Medicine-207PS0010X</v>
      </c>
    </row>
    <row r="247" spans="1:21" ht="30.75" x14ac:dyDescent="0.3">
      <c r="A247" s="21" t="s">
        <v>591</v>
      </c>
      <c r="B247" s="21" t="str">
        <f>Table1[[#This Row],[Code]]&amp;" "&amp;Table1[[#This Row],[Portico_Specialty]]</f>
        <v>207PE0005X Emergency Medicine: Undersea and Hyperbaric Medicine</v>
      </c>
      <c r="C247" s="21" t="str">
        <f>CLEAN(Table1[[#This Row],[Code]])</f>
        <v>207PE0005X</v>
      </c>
      <c r="D247" s="1" t="s">
        <v>592</v>
      </c>
      <c r="E247" s="1"/>
      <c r="F247" s="1" t="s">
        <v>2587</v>
      </c>
      <c r="G247" s="4" t="s">
        <v>2593</v>
      </c>
      <c r="H247" s="1" t="s">
        <v>2702</v>
      </c>
      <c r="I247" s="1"/>
      <c r="J247" s="1" t="s">
        <v>2702</v>
      </c>
      <c r="K247" s="1" t="s">
        <v>2702</v>
      </c>
      <c r="L247" s="1" t="s">
        <v>2702</v>
      </c>
      <c r="M247" s="1" t="s">
        <v>2702</v>
      </c>
      <c r="N247" s="1" t="s">
        <v>2702</v>
      </c>
      <c r="O247" s="1" t="s">
        <v>2702</v>
      </c>
      <c r="P247" s="9"/>
      <c r="R247" s="16">
        <f ca="1">IF(ISNUMBER(SEARCH(INDIRECT(CELL("address")),S247)),MAX($R$1:R246)+1,0)</f>
        <v>246</v>
      </c>
      <c r="S247" s="18" t="str">
        <f>Table1[[#This Row],[Portico_Specialty]]&amp;"-"&amp;Table1[[#This Row],[Code]]</f>
        <v>Emergency Medicine: Undersea and Hyperbaric Medicine-207PE0005X</v>
      </c>
      <c r="U247" s="16" t="str">
        <f ca="1">IFERROR(VLOOKUP(ROWS($U$1:U246),$R$2:$S$918,2,FALSE),"")</f>
        <v>Emergency Medicine: Undersea and Hyperbaric Medicine-207PE0005X</v>
      </c>
    </row>
    <row r="248" spans="1:21" x14ac:dyDescent="0.3">
      <c r="A248" s="21" t="s">
        <v>1619</v>
      </c>
      <c r="B248" s="21" t="str">
        <f>Table1[[#This Row],[Code]]&amp;" "&amp;Table1[[#This Row],[Portico_Specialty]]</f>
        <v>333300000X Emergency Response System Companies</v>
      </c>
      <c r="C248" s="21" t="str">
        <f>CLEAN(Table1[[#This Row],[Code]])</f>
        <v>333300000X</v>
      </c>
      <c r="D248" s="1" t="s">
        <v>1620</v>
      </c>
      <c r="E248" s="1"/>
      <c r="F248" s="1" t="s">
        <v>2587</v>
      </c>
      <c r="G248" s="3" t="s">
        <v>2588</v>
      </c>
      <c r="H248" s="1" t="s">
        <v>2615</v>
      </c>
      <c r="I248" s="1"/>
      <c r="J248" s="1" t="s">
        <v>2590</v>
      </c>
      <c r="K248" s="1" t="s">
        <v>2698</v>
      </c>
      <c r="L248" s="1" t="s">
        <v>2615</v>
      </c>
      <c r="M248" s="1" t="s">
        <v>2615</v>
      </c>
      <c r="N248" s="1" t="s">
        <v>2615</v>
      </c>
      <c r="O248" s="1" t="s">
        <v>2698</v>
      </c>
      <c r="P248" s="9"/>
      <c r="R248" s="16">
        <f ca="1">IF(ISNUMBER(SEARCH(INDIRECT(CELL("address")),S248)),MAX($R$1:R247)+1,0)</f>
        <v>247</v>
      </c>
      <c r="S248" s="18" t="str">
        <f>Table1[[#This Row],[Portico_Specialty]]&amp;"-"&amp;Table1[[#This Row],[Code]]</f>
        <v>Emergency Response System Companies-333300000X</v>
      </c>
      <c r="U248" s="16" t="str">
        <f ca="1">IFERROR(VLOOKUP(ROWS($U$1:U247),$R$2:$S$918,2,FALSE),"")</f>
        <v>Emergency Response System Companies-333300000X</v>
      </c>
    </row>
    <row r="249" spans="1:21" x14ac:dyDescent="0.3">
      <c r="A249" s="21" t="s">
        <v>1485</v>
      </c>
      <c r="B249" s="21" t="str">
        <f>Table1[[#This Row],[Code]]&amp;" "&amp;Table1[[#This Row],[Portico_Specialty]]</f>
        <v>273100000X Epilepsy Unit</v>
      </c>
      <c r="C249" s="21" t="str">
        <f>CLEAN(Table1[[#This Row],[Code]])</f>
        <v>273100000X</v>
      </c>
      <c r="D249" s="1" t="s">
        <v>1486</v>
      </c>
      <c r="E249" s="1"/>
      <c r="F249" s="1" t="s">
        <v>2587</v>
      </c>
      <c r="G249" s="3" t="s">
        <v>2588</v>
      </c>
      <c r="H249" s="1" t="s">
        <v>2642</v>
      </c>
      <c r="I249" s="1"/>
      <c r="J249" s="1" t="s">
        <v>2642</v>
      </c>
      <c r="K249" s="1" t="s">
        <v>2642</v>
      </c>
      <c r="L249" s="1" t="s">
        <v>2642</v>
      </c>
      <c r="M249" s="1" t="s">
        <v>2642</v>
      </c>
      <c r="N249" s="1"/>
      <c r="O249" s="1" t="s">
        <v>2642</v>
      </c>
      <c r="P249" s="9"/>
      <c r="R249" s="16">
        <f ca="1">IF(ISNUMBER(SEARCH(INDIRECT(CELL("address")),S249)),MAX($R$1:R248)+1,0)</f>
        <v>248</v>
      </c>
      <c r="S249" s="18" t="str">
        <f>Table1[[#This Row],[Portico_Specialty]]&amp;"-"&amp;Table1[[#This Row],[Code]]</f>
        <v>Epilepsy Unit-273100000X</v>
      </c>
      <c r="U249" s="16" t="str">
        <f ca="1">IFERROR(VLOOKUP(ROWS($U$1:U248),$R$2:$S$918,2,FALSE),"")</f>
        <v>Epilepsy Unit-273100000X</v>
      </c>
    </row>
    <row r="250" spans="1:21" x14ac:dyDescent="0.3">
      <c r="A250" s="21" t="s">
        <v>1539</v>
      </c>
      <c r="B250" s="21" t="str">
        <f>Table1[[#This Row],[Code]]&amp;" "&amp;Table1[[#This Row],[Portico_Specialty]]</f>
        <v>302F00000X Exclusive Provider Organization</v>
      </c>
      <c r="C250" s="21" t="str">
        <f>CLEAN(Table1[[#This Row],[Code]])</f>
        <v>302F00000X</v>
      </c>
      <c r="D250" s="1" t="s">
        <v>1540</v>
      </c>
      <c r="E250" s="1"/>
      <c r="F250" s="1" t="s">
        <v>2587</v>
      </c>
      <c r="G250" s="3" t="s">
        <v>2588</v>
      </c>
      <c r="H250" s="1" t="s">
        <v>2590</v>
      </c>
      <c r="I250" s="1"/>
      <c r="J250" s="1" t="s">
        <v>2590</v>
      </c>
      <c r="K250" s="1" t="s">
        <v>2703</v>
      </c>
      <c r="L250" s="1" t="s">
        <v>2590</v>
      </c>
      <c r="M250" s="1" t="s">
        <v>2615</v>
      </c>
      <c r="N250" s="1" t="s">
        <v>2590</v>
      </c>
      <c r="O250" s="1" t="s">
        <v>2703</v>
      </c>
      <c r="P250" s="9"/>
      <c r="R250" s="16">
        <f ca="1">IF(ISNUMBER(SEARCH(INDIRECT(CELL("address")),S250)),MAX($R$1:R249)+1,0)</f>
        <v>249</v>
      </c>
      <c r="S250" s="18" t="str">
        <f>Table1[[#This Row],[Portico_Specialty]]&amp;"-"&amp;Table1[[#This Row],[Code]]</f>
        <v>Exclusive Provider Organization-302F00000X</v>
      </c>
      <c r="U250" s="16" t="str">
        <f ca="1">IFERROR(VLOOKUP(ROWS($U$1:U249),$R$2:$S$918,2,FALSE),"")</f>
        <v>Exclusive Provider Organization-302F00000X</v>
      </c>
    </row>
    <row r="251" spans="1:21" x14ac:dyDescent="0.3">
      <c r="A251" s="21" t="s">
        <v>1611</v>
      </c>
      <c r="B251" s="21" t="str">
        <f>Table1[[#This Row],[Code]]&amp;" "&amp;Table1[[#This Row],[Portico_Specialty]]</f>
        <v>332G00000X Eye Bank</v>
      </c>
      <c r="C251" s="21" t="str">
        <f>CLEAN(Table1[[#This Row],[Code]])</f>
        <v>332G00000X</v>
      </c>
      <c r="D251" s="1" t="s">
        <v>1612</v>
      </c>
      <c r="E251" s="1"/>
      <c r="F251" s="1" t="s">
        <v>2587</v>
      </c>
      <c r="G251" s="3" t="s">
        <v>2588</v>
      </c>
      <c r="H251" s="1" t="s">
        <v>2615</v>
      </c>
      <c r="I251" s="1"/>
      <c r="J251" s="1" t="s">
        <v>2590</v>
      </c>
      <c r="K251" s="1" t="s">
        <v>2704</v>
      </c>
      <c r="L251" s="1" t="s">
        <v>2615</v>
      </c>
      <c r="M251" s="1" t="s">
        <v>2615</v>
      </c>
      <c r="N251" s="1"/>
      <c r="O251" s="1" t="s">
        <v>2704</v>
      </c>
      <c r="P251" s="9"/>
      <c r="R251" s="16">
        <f ca="1">IF(ISNUMBER(SEARCH(INDIRECT(CELL("address")),S251)),MAX($R$1:R250)+1,0)</f>
        <v>250</v>
      </c>
      <c r="S251" s="18" t="str">
        <f>Table1[[#This Row],[Portico_Specialty]]&amp;"-"&amp;Table1[[#This Row],[Code]]</f>
        <v>Eye Bank-332G00000X</v>
      </c>
      <c r="U251" s="16" t="str">
        <f ca="1">IFERROR(VLOOKUP(ROWS($U$1:U250),$R$2:$S$918,2,FALSE),"")</f>
        <v>Eye Bank-332G00000X</v>
      </c>
    </row>
    <row r="252" spans="1:21" ht="30.75" x14ac:dyDescent="0.3">
      <c r="A252" s="21" t="s">
        <v>1613</v>
      </c>
      <c r="B252" s="21" t="str">
        <f>Table1[[#This Row],[Code]]&amp;" "&amp;Table1[[#This Row],[Portico_Specialty]]</f>
        <v>332H00000X Eyewear Supplier (Equipment, not the service)</v>
      </c>
      <c r="C252" s="21" t="str">
        <f>CLEAN(Table1[[#This Row],[Code]])</f>
        <v>332H00000X</v>
      </c>
      <c r="D252" s="1" t="s">
        <v>1614</v>
      </c>
      <c r="E252" s="1"/>
      <c r="F252" s="1" t="s">
        <v>2587</v>
      </c>
      <c r="G252" s="3" t="s">
        <v>2588</v>
      </c>
      <c r="H252" s="1" t="s">
        <v>2615</v>
      </c>
      <c r="I252" s="1"/>
      <c r="J252" s="1" t="s">
        <v>2705</v>
      </c>
      <c r="K252" s="1" t="s">
        <v>2704</v>
      </c>
      <c r="L252" s="1" t="s">
        <v>2615</v>
      </c>
      <c r="M252" s="1" t="s">
        <v>2705</v>
      </c>
      <c r="N252" s="1" t="s">
        <v>2704</v>
      </c>
      <c r="O252" s="1" t="s">
        <v>2704</v>
      </c>
      <c r="P252" s="9"/>
      <c r="R252" s="16">
        <f ca="1">IF(ISNUMBER(SEARCH(INDIRECT(CELL("address")),S252)),MAX($R$1:R251)+1,0)</f>
        <v>251</v>
      </c>
      <c r="S252" s="18" t="str">
        <f>Table1[[#This Row],[Portico_Specialty]]&amp;"-"&amp;Table1[[#This Row],[Code]]</f>
        <v>Eyewear Supplier (Equipment, not the service)-332H00000X</v>
      </c>
      <c r="U252" s="16" t="str">
        <f ca="1">IFERROR(VLOOKUP(ROWS($U$1:U251),$R$2:$S$918,2,FALSE),"")</f>
        <v>Eyewear Supplier (Equipment, not the service)-332H00000X</v>
      </c>
    </row>
    <row r="253" spans="1:21" x14ac:dyDescent="0.3">
      <c r="A253" s="21" t="s">
        <v>601</v>
      </c>
      <c r="B253" s="21" t="str">
        <f>Table1[[#This Row],[Code]]&amp;" "&amp;Table1[[#This Row],[Portico_Specialty]]</f>
        <v>207Q00000X Family Medicine</v>
      </c>
      <c r="C253" s="21" t="str">
        <f>CLEAN(Table1[[#This Row],[Code]])</f>
        <v>207Q00000X</v>
      </c>
      <c r="D253" s="1" t="s">
        <v>602</v>
      </c>
      <c r="E253" s="1"/>
      <c r="F253" s="4" t="s">
        <v>2619</v>
      </c>
      <c r="G253" s="4" t="s">
        <v>2593</v>
      </c>
      <c r="H253" s="1" t="s">
        <v>2706</v>
      </c>
      <c r="I253" s="1"/>
      <c r="J253" s="1" t="s">
        <v>2706</v>
      </c>
      <c r="K253" s="1" t="s">
        <v>2614</v>
      </c>
      <c r="L253" s="1" t="s">
        <v>2706</v>
      </c>
      <c r="M253" s="1" t="s">
        <v>2706</v>
      </c>
      <c r="N253" s="1" t="s">
        <v>2706</v>
      </c>
      <c r="O253" s="1" t="s">
        <v>2614</v>
      </c>
      <c r="P253" s="9"/>
      <c r="R253" s="16">
        <f ca="1">IF(ISNUMBER(SEARCH(INDIRECT(CELL("address")),S253)),MAX($R$1:R252)+1,0)</f>
        <v>252</v>
      </c>
      <c r="S253" s="18" t="str">
        <f>Table1[[#This Row],[Portico_Specialty]]&amp;"-"&amp;Table1[[#This Row],[Code]]</f>
        <v>Family Medicine-207Q00000X</v>
      </c>
      <c r="U253" s="16" t="str">
        <f ca="1">IFERROR(VLOOKUP(ROWS($U$1:U252),$R$2:$S$918,2,FALSE),"")</f>
        <v>Family Medicine-207Q00000X</v>
      </c>
    </row>
    <row r="254" spans="1:21" x14ac:dyDescent="0.3">
      <c r="A254" s="21" t="s">
        <v>605</v>
      </c>
      <c r="B254" s="21" t="str">
        <f>Table1[[#This Row],[Code]]&amp;" "&amp;Table1[[#This Row],[Portico_Specialty]]</f>
        <v>207QA0401X Family Medicine: Addiction Medicine</v>
      </c>
      <c r="C254" s="21" t="str">
        <f>CLEAN(Table1[[#This Row],[Code]])</f>
        <v>207QA0401X</v>
      </c>
      <c r="D254" s="1" t="s">
        <v>606</v>
      </c>
      <c r="E254" s="1"/>
      <c r="F254" s="1" t="s">
        <v>2587</v>
      </c>
      <c r="G254" s="4" t="s">
        <v>2593</v>
      </c>
      <c r="H254" s="1" t="s">
        <v>2605</v>
      </c>
      <c r="I254" s="1"/>
      <c r="J254" s="1" t="s">
        <v>2605</v>
      </c>
      <c r="K254" s="1" t="s">
        <v>2605</v>
      </c>
      <c r="L254" s="1" t="s">
        <v>2605</v>
      </c>
      <c r="M254" s="1" t="s">
        <v>2605</v>
      </c>
      <c r="N254" s="1" t="s">
        <v>2605</v>
      </c>
      <c r="O254" s="1" t="s">
        <v>2605</v>
      </c>
      <c r="P254" s="9"/>
      <c r="R254" s="16">
        <f ca="1">IF(ISNUMBER(SEARCH(INDIRECT(CELL("address")),S254)),MAX($R$1:R253)+1,0)</f>
        <v>253</v>
      </c>
      <c r="S254" s="18" t="str">
        <f>Table1[[#This Row],[Portico_Specialty]]&amp;"-"&amp;Table1[[#This Row],[Code]]</f>
        <v>Family Medicine: Addiction Medicine-207QA0401X</v>
      </c>
      <c r="U254" s="16" t="str">
        <f ca="1">IFERROR(VLOOKUP(ROWS($U$1:U253),$R$2:$S$918,2,FALSE),"")</f>
        <v>Family Medicine: Addiction Medicine-207QA0401X</v>
      </c>
    </row>
    <row r="255" spans="1:21" x14ac:dyDescent="0.3">
      <c r="A255" s="21" t="s">
        <v>603</v>
      </c>
      <c r="B255" s="21" t="str">
        <f>Table1[[#This Row],[Code]]&amp;" "&amp;Table1[[#This Row],[Portico_Specialty]]</f>
        <v>207QA0000X Family Medicine: Adolescent Medicine</v>
      </c>
      <c r="C255" s="21" t="str">
        <f>CLEAN(Table1[[#This Row],[Code]])</f>
        <v>207QA0000X</v>
      </c>
      <c r="D255" s="1" t="s">
        <v>604</v>
      </c>
      <c r="E255" s="1"/>
      <c r="F255" s="1" t="s">
        <v>2587</v>
      </c>
      <c r="G255" s="4" t="s">
        <v>2593</v>
      </c>
      <c r="H255" s="1" t="s">
        <v>2707</v>
      </c>
      <c r="I255" s="1"/>
      <c r="J255" s="1" t="s">
        <v>2707</v>
      </c>
      <c r="K255" s="1" t="s">
        <v>2614</v>
      </c>
      <c r="L255" s="1" t="s">
        <v>2707</v>
      </c>
      <c r="M255" s="1" t="s">
        <v>2707</v>
      </c>
      <c r="N255" s="1"/>
      <c r="O255" s="1" t="s">
        <v>2614</v>
      </c>
      <c r="P255" s="9"/>
      <c r="R255" s="16">
        <f ca="1">IF(ISNUMBER(SEARCH(INDIRECT(CELL("address")),S255)),MAX($R$1:R254)+1,0)</f>
        <v>254</v>
      </c>
      <c r="S255" s="18" t="str">
        <f>Table1[[#This Row],[Portico_Specialty]]&amp;"-"&amp;Table1[[#This Row],[Code]]</f>
        <v>Family Medicine: Adolescent Medicine-207QA0000X</v>
      </c>
      <c r="U255" s="16" t="str">
        <f ca="1">IFERROR(VLOOKUP(ROWS($U$1:U254),$R$2:$S$918,2,FALSE),"")</f>
        <v>Family Medicine: Adolescent Medicine-207QA0000X</v>
      </c>
    </row>
    <row r="256" spans="1:21" x14ac:dyDescent="0.3">
      <c r="A256" s="21" t="s">
        <v>607</v>
      </c>
      <c r="B256" s="21" t="str">
        <f>Table1[[#This Row],[Code]]&amp;" "&amp;Table1[[#This Row],[Portico_Specialty]]</f>
        <v>207QA0505X Family Medicine: Adult Medicine</v>
      </c>
      <c r="C256" s="21" t="str">
        <f>CLEAN(Table1[[#This Row],[Code]])</f>
        <v>207QA0505X</v>
      </c>
      <c r="D256" s="1" t="s">
        <v>608</v>
      </c>
      <c r="E256" s="1"/>
      <c r="F256" s="1" t="s">
        <v>2587</v>
      </c>
      <c r="G256" s="4" t="s">
        <v>2593</v>
      </c>
      <c r="H256" s="1" t="s">
        <v>2706</v>
      </c>
      <c r="I256" s="1"/>
      <c r="J256" s="1" t="s">
        <v>2706</v>
      </c>
      <c r="K256" s="1" t="s">
        <v>2614</v>
      </c>
      <c r="L256" s="1" t="s">
        <v>2706</v>
      </c>
      <c r="M256" s="1" t="s">
        <v>2706</v>
      </c>
      <c r="N256" s="1" t="s">
        <v>2706</v>
      </c>
      <c r="O256" s="1" t="s">
        <v>2614</v>
      </c>
      <c r="P256" s="9"/>
      <c r="R256" s="16">
        <f ca="1">IF(ISNUMBER(SEARCH(INDIRECT(CELL("address")),S256)),MAX($R$1:R255)+1,0)</f>
        <v>255</v>
      </c>
      <c r="S256" s="18" t="str">
        <f>Table1[[#This Row],[Portico_Specialty]]&amp;"-"&amp;Table1[[#This Row],[Code]]</f>
        <v>Family Medicine: Adult Medicine-207QA0505X</v>
      </c>
      <c r="U256" s="16" t="str">
        <f ca="1">IFERROR(VLOOKUP(ROWS($U$1:U255),$R$2:$S$918,2,FALSE),"")</f>
        <v>Family Medicine: Adult Medicine-207QA0505X</v>
      </c>
    </row>
    <row r="257" spans="1:21" x14ac:dyDescent="0.3">
      <c r="A257" s="21" t="s">
        <v>611</v>
      </c>
      <c r="B257" s="21" t="str">
        <f>Table1[[#This Row],[Code]]&amp;" "&amp;Table1[[#This Row],[Portico_Specialty]]</f>
        <v>207QG0300X Family Medicine: Geriatric Medicine</v>
      </c>
      <c r="C257" s="21" t="str">
        <f>CLEAN(Table1[[#This Row],[Code]])</f>
        <v>207QG0300X</v>
      </c>
      <c r="D257" s="1" t="s">
        <v>612</v>
      </c>
      <c r="E257" s="1"/>
      <c r="F257" s="4" t="s">
        <v>2619</v>
      </c>
      <c r="G257" s="4" t="s">
        <v>2593</v>
      </c>
      <c r="H257" s="1" t="s">
        <v>2670</v>
      </c>
      <c r="I257" s="1"/>
      <c r="J257" s="1" t="s">
        <v>2670</v>
      </c>
      <c r="K257" s="1" t="s">
        <v>2614</v>
      </c>
      <c r="L257" s="1" t="s">
        <v>2670</v>
      </c>
      <c r="M257" s="1" t="s">
        <v>2670</v>
      </c>
      <c r="N257" s="1" t="s">
        <v>2670</v>
      </c>
      <c r="O257" s="1" t="s">
        <v>2614</v>
      </c>
      <c r="P257" s="9"/>
      <c r="R257" s="16">
        <f ca="1">IF(ISNUMBER(SEARCH(INDIRECT(CELL("address")),S257)),MAX($R$1:R256)+1,0)</f>
        <v>256</v>
      </c>
      <c r="S257" s="18" t="str">
        <f>Table1[[#This Row],[Portico_Specialty]]&amp;"-"&amp;Table1[[#This Row],[Code]]</f>
        <v>Family Medicine: Geriatric Medicine-207QG0300X</v>
      </c>
      <c r="U257" s="16" t="str">
        <f ca="1">IFERROR(VLOOKUP(ROWS($U$1:U256),$R$2:$S$918,2,FALSE),"")</f>
        <v>Family Medicine: Geriatric Medicine-207QG0300X</v>
      </c>
    </row>
    <row r="258" spans="1:21" ht="30.75" x14ac:dyDescent="0.3">
      <c r="A258" s="21" t="s">
        <v>613</v>
      </c>
      <c r="B258" s="21" t="str">
        <f>Table1[[#This Row],[Code]]&amp;" "&amp;Table1[[#This Row],[Portico_Specialty]]</f>
        <v>207QH0002X Family Medicine: Hospice and Palliative Medicine</v>
      </c>
      <c r="C258" s="21" t="str">
        <f>CLEAN(Table1[[#This Row],[Code]])</f>
        <v>207QH0002X</v>
      </c>
      <c r="D258" s="1" t="s">
        <v>614</v>
      </c>
      <c r="E258" s="1"/>
      <c r="F258" s="1" t="s">
        <v>2587</v>
      </c>
      <c r="G258" s="4" t="s">
        <v>2593</v>
      </c>
      <c r="H258" s="1" t="s">
        <v>2706</v>
      </c>
      <c r="I258" s="1"/>
      <c r="J258" s="1" t="s">
        <v>2706</v>
      </c>
      <c r="K258" s="1" t="s">
        <v>2614</v>
      </c>
      <c r="L258" s="1" t="s">
        <v>2706</v>
      </c>
      <c r="M258" s="1" t="s">
        <v>2706</v>
      </c>
      <c r="N258" s="1" t="s">
        <v>2706</v>
      </c>
      <c r="O258" s="1" t="s">
        <v>2614</v>
      </c>
      <c r="P258" s="9"/>
      <c r="R258" s="16">
        <f ca="1">IF(ISNUMBER(SEARCH(INDIRECT(CELL("address")),S258)),MAX($R$1:R257)+1,0)</f>
        <v>257</v>
      </c>
      <c r="S258" s="18" t="str">
        <f>Table1[[#This Row],[Portico_Specialty]]&amp;"-"&amp;Table1[[#This Row],[Code]]</f>
        <v>Family Medicine: Hospice and Palliative Medicine-207QH0002X</v>
      </c>
      <c r="U258" s="16" t="str">
        <f ca="1">IFERROR(VLOOKUP(ROWS($U$1:U257),$R$2:$S$918,2,FALSE),"")</f>
        <v>Family Medicine: Hospice and Palliative Medicine-207QH0002X</v>
      </c>
    </row>
    <row r="259" spans="1:21" x14ac:dyDescent="0.3">
      <c r="A259" s="21" t="s">
        <v>609</v>
      </c>
      <c r="B259" s="21" t="str">
        <f>Table1[[#This Row],[Code]]&amp;" "&amp;Table1[[#This Row],[Portico_Specialty]]</f>
        <v>207QB0002X Family Medicine: Obesity Medicine</v>
      </c>
      <c r="C259" s="21" t="str">
        <f>CLEAN(Table1[[#This Row],[Code]])</f>
        <v>207QB0002X</v>
      </c>
      <c r="D259" s="1" t="s">
        <v>610</v>
      </c>
      <c r="E259" s="1"/>
      <c r="F259" s="1" t="s">
        <v>2587</v>
      </c>
      <c r="G259" s="4" t="s">
        <v>2593</v>
      </c>
      <c r="H259" s="1" t="s">
        <v>2706</v>
      </c>
      <c r="I259" s="1"/>
      <c r="J259" s="1" t="s">
        <v>2706</v>
      </c>
      <c r="K259" s="1" t="s">
        <v>2614</v>
      </c>
      <c r="L259" s="1" t="s">
        <v>2706</v>
      </c>
      <c r="M259" s="1" t="s">
        <v>2706</v>
      </c>
      <c r="N259" s="1" t="s">
        <v>2706</v>
      </c>
      <c r="O259" s="1" t="s">
        <v>2614</v>
      </c>
      <c r="P259" s="9"/>
      <c r="R259" s="16">
        <f ca="1">IF(ISNUMBER(SEARCH(INDIRECT(CELL("address")),S259)),MAX($R$1:R258)+1,0)</f>
        <v>258</v>
      </c>
      <c r="S259" s="18" t="str">
        <f>Table1[[#This Row],[Portico_Specialty]]&amp;"-"&amp;Table1[[#This Row],[Code]]</f>
        <v>Family Medicine: Obesity Medicine-207QB0002X</v>
      </c>
      <c r="U259" s="16" t="str">
        <f ca="1">IFERROR(VLOOKUP(ROWS($U$1:U258),$R$2:$S$918,2,FALSE),"")</f>
        <v>Family Medicine: Obesity Medicine-207QB0002X</v>
      </c>
    </row>
    <row r="260" spans="1:21" x14ac:dyDescent="0.3">
      <c r="A260" s="21" t="s">
        <v>617</v>
      </c>
      <c r="B260" s="21" t="str">
        <f>Table1[[#This Row],[Code]]&amp;" "&amp;Table1[[#This Row],[Portico_Specialty]]</f>
        <v>207QS1201X Family Medicine: Sleep Medicine</v>
      </c>
      <c r="C260" s="21" t="str">
        <f>CLEAN(Table1[[#This Row],[Code]])</f>
        <v>207QS1201X</v>
      </c>
      <c r="D260" s="1" t="s">
        <v>618</v>
      </c>
      <c r="E260" s="1"/>
      <c r="F260" s="1" t="s">
        <v>2587</v>
      </c>
      <c r="G260" s="4" t="s">
        <v>2593</v>
      </c>
      <c r="H260" s="1" t="s">
        <v>2706</v>
      </c>
      <c r="I260" s="1"/>
      <c r="J260" s="1" t="s">
        <v>2708</v>
      </c>
      <c r="K260" s="1" t="s">
        <v>2614</v>
      </c>
      <c r="L260" s="1" t="s">
        <v>2709</v>
      </c>
      <c r="M260" s="1" t="s">
        <v>2708</v>
      </c>
      <c r="N260" s="1" t="s">
        <v>2709</v>
      </c>
      <c r="O260" s="1" t="s">
        <v>2614</v>
      </c>
      <c r="P260" s="9"/>
      <c r="R260" s="16">
        <f ca="1">IF(ISNUMBER(SEARCH(INDIRECT(CELL("address")),S260)),MAX($R$1:R259)+1,0)</f>
        <v>259</v>
      </c>
      <c r="S260" s="18" t="str">
        <f>Table1[[#This Row],[Portico_Specialty]]&amp;"-"&amp;Table1[[#This Row],[Code]]</f>
        <v>Family Medicine: Sleep Medicine-207QS1201X</v>
      </c>
      <c r="U260" s="16" t="str">
        <f ca="1">IFERROR(VLOOKUP(ROWS($U$1:U259),$R$2:$S$918,2,FALSE),"")</f>
        <v>Family Medicine: Sleep Medicine-207QS1201X</v>
      </c>
    </row>
    <row r="261" spans="1:21" x14ac:dyDescent="0.3">
      <c r="A261" s="21" t="s">
        <v>615</v>
      </c>
      <c r="B261" s="21" t="str">
        <f>Table1[[#This Row],[Code]]&amp;" "&amp;Table1[[#This Row],[Portico_Specialty]]</f>
        <v>207QS0010X Family Medicine: Sports Medicine</v>
      </c>
      <c r="C261" s="21" t="str">
        <f>CLEAN(Table1[[#This Row],[Code]])</f>
        <v>207QS0010X</v>
      </c>
      <c r="D261" s="1" t="s">
        <v>616</v>
      </c>
      <c r="E261" s="1"/>
      <c r="F261" s="1" t="s">
        <v>2587</v>
      </c>
      <c r="G261" s="4" t="s">
        <v>2593</v>
      </c>
      <c r="H261" s="1" t="s">
        <v>2706</v>
      </c>
      <c r="I261" s="1"/>
      <c r="J261" s="1" t="s">
        <v>2708</v>
      </c>
      <c r="K261" s="1" t="s">
        <v>2614</v>
      </c>
      <c r="L261" s="1" t="s">
        <v>2708</v>
      </c>
      <c r="M261" s="1" t="s">
        <v>2666</v>
      </c>
      <c r="N261" s="1" t="s">
        <v>2666</v>
      </c>
      <c r="O261" s="1" t="s">
        <v>2614</v>
      </c>
      <c r="P261" s="9"/>
      <c r="R261" s="16">
        <f ca="1">IF(ISNUMBER(SEARCH(INDIRECT(CELL("address")),S261)),MAX($R$1:R260)+1,0)</f>
        <v>260</v>
      </c>
      <c r="S261" s="18" t="str">
        <f>Table1[[#This Row],[Portico_Specialty]]&amp;"-"&amp;Table1[[#This Row],[Code]]</f>
        <v>Family Medicine: Sports Medicine-207QS0010X</v>
      </c>
      <c r="U261" s="16" t="str">
        <f ca="1">IFERROR(VLOOKUP(ROWS($U$1:U260),$R$2:$S$918,2,FALSE),"")</f>
        <v>Family Medicine: Sports Medicine-207QS0010X</v>
      </c>
    </row>
    <row r="262" spans="1:21" ht="30.75" x14ac:dyDescent="0.3">
      <c r="A262" s="21" t="s">
        <v>707</v>
      </c>
      <c r="B262" s="21" t="str">
        <f>Table1[[#This Row],[Code]]&amp;" "&amp;Table1[[#This Row],[Portico_Specialty]]</f>
        <v>207VF0040X Female Pelvic Medicine and Reconstructive Surgery, OB/GYN</v>
      </c>
      <c r="C262" s="21" t="str">
        <f>CLEAN(Table1[[#This Row],[Code]])</f>
        <v>207VF0040X</v>
      </c>
      <c r="D262" s="1" t="s">
        <v>708</v>
      </c>
      <c r="E262" s="1"/>
      <c r="F262" s="1" t="s">
        <v>2587</v>
      </c>
      <c r="G262" s="4" t="s">
        <v>2593</v>
      </c>
      <c r="H262" s="1"/>
      <c r="I262" s="1"/>
      <c r="J262" s="1" t="s">
        <v>2590</v>
      </c>
      <c r="K262" s="1" t="s">
        <v>2710</v>
      </c>
      <c r="L262" s="1"/>
      <c r="M262" s="1" t="s">
        <v>2710</v>
      </c>
      <c r="N262" s="1" t="s">
        <v>2710</v>
      </c>
      <c r="O262" s="1" t="s">
        <v>2710</v>
      </c>
      <c r="P262" s="9"/>
      <c r="R262" s="16">
        <f ca="1">IF(ISNUMBER(SEARCH(INDIRECT(CELL("address")),S262)),MAX($R$1:R261)+1,0)</f>
        <v>261</v>
      </c>
      <c r="S262" s="18" t="str">
        <f>Table1[[#This Row],[Portico_Specialty]]&amp;"-"&amp;Table1[[#This Row],[Code]]</f>
        <v>Female Pelvic Medicine and Reconstructive Surgery, OB/GYN-207VF0040X</v>
      </c>
      <c r="U262" s="16" t="str">
        <f ca="1">IFERROR(VLOOKUP(ROWS($U$1:U261),$R$2:$S$918,2,FALSE),"")</f>
        <v>Female Pelvic Medicine and Reconstructive Surgery, OB/GYN-207VF0040X</v>
      </c>
    </row>
    <row r="263" spans="1:21" ht="30.75" x14ac:dyDescent="0.3">
      <c r="A263" s="21" t="s">
        <v>977</v>
      </c>
      <c r="B263" s="21" t="str">
        <f>Table1[[#This Row],[Code]]&amp;" "&amp;Table1[[#This Row],[Portico_Specialty]]</f>
        <v>2088F0040X Female Pelvic Medicine and Reconstructive Surgery, Urology Physician</v>
      </c>
      <c r="C263" s="21" t="str">
        <f>CLEAN(Table1[[#This Row],[Code]])</f>
        <v>2088F0040X</v>
      </c>
      <c r="D263" s="1" t="s">
        <v>978</v>
      </c>
      <c r="E263" s="1"/>
      <c r="F263" s="1" t="s">
        <v>2587</v>
      </c>
      <c r="G263" s="4" t="s">
        <v>2593</v>
      </c>
      <c r="H263" s="1"/>
      <c r="I263" s="1"/>
      <c r="J263" s="1" t="s">
        <v>2590</v>
      </c>
      <c r="K263" s="1" t="s">
        <v>2711</v>
      </c>
      <c r="L263" s="1" t="s">
        <v>2711</v>
      </c>
      <c r="M263" s="1" t="s">
        <v>2711</v>
      </c>
      <c r="N263" s="1" t="s">
        <v>2712</v>
      </c>
      <c r="O263" s="1" t="s">
        <v>2711</v>
      </c>
      <c r="P263" s="9"/>
      <c r="R263" s="16">
        <f ca="1">IF(ISNUMBER(SEARCH(INDIRECT(CELL("address")),S263)),MAX($R$1:R262)+1,0)</f>
        <v>262</v>
      </c>
      <c r="S263" s="18" t="str">
        <f>Table1[[#This Row],[Portico_Specialty]]&amp;"-"&amp;Table1[[#This Row],[Code]]</f>
        <v>Female Pelvic Medicine and Reconstructive Surgery, Urology Physician-2088F0040X</v>
      </c>
      <c r="U263" s="16" t="str">
        <f ca="1">IFERROR(VLOOKUP(ROWS($U$1:U262),$R$2:$S$918,2,FALSE),"")</f>
        <v>Female Pelvic Medicine and Reconstructive Surgery, Urology Physician-2088F0040X</v>
      </c>
    </row>
    <row r="264" spans="1:21" x14ac:dyDescent="0.3">
      <c r="A264" s="21" t="s">
        <v>1355</v>
      </c>
      <c r="B264" s="21" t="str">
        <f>Table1[[#This Row],[Code]]&amp;" "&amp;Table1[[#This Row],[Portico_Specialty]]</f>
        <v>253J00000X Foster Care Agency</v>
      </c>
      <c r="C264" s="21" t="str">
        <f>CLEAN(Table1[[#This Row],[Code]])</f>
        <v>253J00000X</v>
      </c>
      <c r="D264" s="1" t="s">
        <v>1356</v>
      </c>
      <c r="E264" s="1"/>
      <c r="F264" s="1" t="s">
        <v>2587</v>
      </c>
      <c r="G264" s="3" t="s">
        <v>2588</v>
      </c>
      <c r="H264" s="1" t="s">
        <v>2703</v>
      </c>
      <c r="I264" s="1"/>
      <c r="J264" s="1" t="s">
        <v>2703</v>
      </c>
      <c r="K264" s="1" t="s">
        <v>2621</v>
      </c>
      <c r="L264" s="1" t="s">
        <v>2703</v>
      </c>
      <c r="M264" s="1" t="s">
        <v>2703</v>
      </c>
      <c r="N264" s="1" t="s">
        <v>2703</v>
      </c>
      <c r="O264" s="1" t="s">
        <v>2621</v>
      </c>
      <c r="P264" s="9"/>
      <c r="R264" s="16">
        <f ca="1">IF(ISNUMBER(SEARCH(INDIRECT(CELL("address")),S264)),MAX($R$1:R263)+1,0)</f>
        <v>263</v>
      </c>
      <c r="S264" s="18" t="str">
        <f>Table1[[#This Row],[Portico_Specialty]]&amp;"-"&amp;Table1[[#This Row],[Code]]</f>
        <v>Foster Care Agency-253J00000X</v>
      </c>
      <c r="U264" s="16" t="str">
        <f ca="1">IFERROR(VLOOKUP(ROWS($U$1:U263),$R$2:$S$918,2,FALSE),"")</f>
        <v>Foster Care Agency-253J00000X</v>
      </c>
    </row>
    <row r="265" spans="1:21" x14ac:dyDescent="0.3">
      <c r="A265" s="21" t="s">
        <v>509</v>
      </c>
      <c r="B265" s="21" t="str">
        <f>Table1[[#This Row],[Code]]&amp;" "&amp;Table1[[#This Row],[Portico_Specialty]]</f>
        <v>176P00000X Funeral Director</v>
      </c>
      <c r="C265" s="21" t="str">
        <f>CLEAN(Table1[[#This Row],[Code]])</f>
        <v>176P00000X</v>
      </c>
      <c r="D265" s="1" t="s">
        <v>510</v>
      </c>
      <c r="E265" s="1"/>
      <c r="F265" s="1" t="s">
        <v>2587</v>
      </c>
      <c r="G265" s="3" t="s">
        <v>2588</v>
      </c>
      <c r="H265" s="1"/>
      <c r="I265" s="1"/>
      <c r="J265" s="1" t="s">
        <v>2590</v>
      </c>
      <c r="K265" s="1" t="s">
        <v>2590</v>
      </c>
      <c r="L265" s="1"/>
      <c r="M265" s="1"/>
      <c r="N265" s="1"/>
      <c r="O265" s="1" t="s">
        <v>2590</v>
      </c>
      <c r="P265" s="9"/>
      <c r="R265" s="16">
        <f ca="1">IF(ISNUMBER(SEARCH(INDIRECT(CELL("address")),S265)),MAX($R$1:R264)+1,0)</f>
        <v>264</v>
      </c>
      <c r="S265" s="18" t="str">
        <f>Table1[[#This Row],[Portico_Specialty]]&amp;"-"&amp;Table1[[#This Row],[Code]]</f>
        <v>Funeral Director-176P00000X</v>
      </c>
      <c r="U265" s="16" t="str">
        <f ca="1">IFERROR(VLOOKUP(ROWS($U$1:U264),$R$2:$S$918,2,FALSE),"")</f>
        <v>Funeral Director-176P00000X</v>
      </c>
    </row>
    <row r="266" spans="1:21" x14ac:dyDescent="0.3">
      <c r="A266" s="21" t="s">
        <v>1503</v>
      </c>
      <c r="B266" s="21" t="str">
        <f>Table1[[#This Row],[Code]]&amp;" "&amp;Table1[[#This Row],[Portico_Specialty]]</f>
        <v>282N00000X General Acute Care Hospital</v>
      </c>
      <c r="C266" s="21" t="str">
        <f>CLEAN(Table1[[#This Row],[Code]])</f>
        <v>282N00000X</v>
      </c>
      <c r="D266" s="1" t="s">
        <v>1504</v>
      </c>
      <c r="E266" s="1" t="s">
        <v>2647</v>
      </c>
      <c r="F266" s="4" t="s">
        <v>2619</v>
      </c>
      <c r="G266" s="4" t="s">
        <v>2593</v>
      </c>
      <c r="H266" s="1" t="s">
        <v>2642</v>
      </c>
      <c r="I266" s="1"/>
      <c r="J266" s="1" t="s">
        <v>2642</v>
      </c>
      <c r="K266" s="1" t="s">
        <v>2642</v>
      </c>
      <c r="L266" s="1" t="s">
        <v>2642</v>
      </c>
      <c r="M266" s="1" t="s">
        <v>2642</v>
      </c>
      <c r="N266" s="1" t="s">
        <v>2643</v>
      </c>
      <c r="O266" s="1" t="s">
        <v>2642</v>
      </c>
      <c r="P266" s="9"/>
      <c r="R266" s="16">
        <f ca="1">IF(ISNUMBER(SEARCH(INDIRECT(CELL("address")),S266)),MAX($R$1:R265)+1,0)</f>
        <v>265</v>
      </c>
      <c r="S266" s="18" t="str">
        <f>Table1[[#This Row],[Portico_Specialty]]&amp;"-"&amp;Table1[[#This Row],[Code]]</f>
        <v>General Acute Care Hospital-282N00000X</v>
      </c>
      <c r="U266" s="16" t="str">
        <f ca="1">IFERROR(VLOOKUP(ROWS($U$1:U265),$R$2:$S$918,2,FALSE),"")</f>
        <v>General Acute Care Hospital-282N00000X</v>
      </c>
    </row>
    <row r="267" spans="1:21" x14ac:dyDescent="0.3">
      <c r="A267" s="21" t="s">
        <v>1507</v>
      </c>
      <c r="B267" s="21" t="str">
        <f>Table1[[#This Row],[Code]]&amp;" "&amp;Table1[[#This Row],[Portico_Specialty]]</f>
        <v>282NC2000X General Acute Care Hospital: Children</v>
      </c>
      <c r="C267" s="21" t="str">
        <f>CLEAN(Table1[[#This Row],[Code]])</f>
        <v>282NC2000X</v>
      </c>
      <c r="D267" s="1" t="s">
        <v>1508</v>
      </c>
      <c r="E267" s="1" t="s">
        <v>2647</v>
      </c>
      <c r="F267" s="4" t="s">
        <v>2619</v>
      </c>
      <c r="G267" s="4" t="s">
        <v>2593</v>
      </c>
      <c r="H267" s="1" t="s">
        <v>2642</v>
      </c>
      <c r="I267" s="1"/>
      <c r="J267" s="1" t="s">
        <v>2642</v>
      </c>
      <c r="K267" s="1" t="s">
        <v>2642</v>
      </c>
      <c r="L267" s="1" t="s">
        <v>2642</v>
      </c>
      <c r="M267" s="1" t="s">
        <v>2642</v>
      </c>
      <c r="N267" s="1" t="s">
        <v>2643</v>
      </c>
      <c r="O267" s="1" t="s">
        <v>2642</v>
      </c>
      <c r="P267" s="9"/>
      <c r="R267" s="16">
        <f ca="1">IF(ISNUMBER(SEARCH(INDIRECT(CELL("address")),S267)),MAX($R$1:R266)+1,0)</f>
        <v>266</v>
      </c>
      <c r="S267" s="18" t="str">
        <f>Table1[[#This Row],[Portico_Specialty]]&amp;"-"&amp;Table1[[#This Row],[Code]]</f>
        <v>General Acute Care Hospital: Children-282NC2000X</v>
      </c>
      <c r="U267" s="16" t="str">
        <f ca="1">IFERROR(VLOOKUP(ROWS($U$1:U266),$R$2:$S$918,2,FALSE),"")</f>
        <v>General Acute Care Hospital: Children-282NC2000X</v>
      </c>
    </row>
    <row r="268" spans="1:21" x14ac:dyDescent="0.3">
      <c r="A268" s="21" t="s">
        <v>1505</v>
      </c>
      <c r="B268" s="21" t="str">
        <f>Table1[[#This Row],[Code]]&amp;" "&amp;Table1[[#This Row],[Portico_Specialty]]</f>
        <v>282NC0060X General Acute Care Hospital: Critical Access</v>
      </c>
      <c r="C268" s="21" t="str">
        <f>CLEAN(Table1[[#This Row],[Code]])</f>
        <v>282NC0060X</v>
      </c>
      <c r="D268" s="1" t="s">
        <v>1506</v>
      </c>
      <c r="E268" s="1" t="s">
        <v>2647</v>
      </c>
      <c r="F268" s="4" t="s">
        <v>2619</v>
      </c>
      <c r="G268" s="4" t="s">
        <v>2593</v>
      </c>
      <c r="H268" s="1" t="s">
        <v>2642</v>
      </c>
      <c r="I268" s="1"/>
      <c r="J268" s="1" t="s">
        <v>2642</v>
      </c>
      <c r="K268" s="1" t="s">
        <v>2642</v>
      </c>
      <c r="L268" s="1" t="s">
        <v>2642</v>
      </c>
      <c r="M268" s="1" t="s">
        <v>2642</v>
      </c>
      <c r="N268" s="1" t="s">
        <v>2643</v>
      </c>
      <c r="O268" s="1" t="s">
        <v>2642</v>
      </c>
      <c r="P268" s="9"/>
      <c r="R268" s="16">
        <f ca="1">IF(ISNUMBER(SEARCH(INDIRECT(CELL("address")),S268)),MAX($R$1:R267)+1,0)</f>
        <v>267</v>
      </c>
      <c r="S268" s="18" t="str">
        <f>Table1[[#This Row],[Portico_Specialty]]&amp;"-"&amp;Table1[[#This Row],[Code]]</f>
        <v>General Acute Care Hospital: Critical Access-282NC0060X</v>
      </c>
      <c r="U268" s="16" t="str">
        <f ca="1">IFERROR(VLOOKUP(ROWS($U$1:U267),$R$2:$S$918,2,FALSE),"")</f>
        <v>General Acute Care Hospital: Critical Access-282NC0060X</v>
      </c>
    </row>
    <row r="269" spans="1:21" x14ac:dyDescent="0.3">
      <c r="A269" s="21" t="s">
        <v>1509</v>
      </c>
      <c r="B269" s="21" t="str">
        <f>Table1[[#This Row],[Code]]&amp;" "&amp;Table1[[#This Row],[Portico_Specialty]]</f>
        <v>282NR1301X General Acute Care Hospital: Rural</v>
      </c>
      <c r="C269" s="21" t="str">
        <f>CLEAN(Table1[[#This Row],[Code]])</f>
        <v>282NR1301X</v>
      </c>
      <c r="D269" s="1" t="s">
        <v>1510</v>
      </c>
      <c r="E269" s="1" t="s">
        <v>2647</v>
      </c>
      <c r="F269" s="4" t="s">
        <v>2619</v>
      </c>
      <c r="G269" s="3" t="s">
        <v>2588</v>
      </c>
      <c r="H269" s="1" t="s">
        <v>2642</v>
      </c>
      <c r="I269" s="1"/>
      <c r="J269" s="1" t="s">
        <v>2642</v>
      </c>
      <c r="K269" s="1" t="s">
        <v>2642</v>
      </c>
      <c r="L269" s="1" t="s">
        <v>2642</v>
      </c>
      <c r="M269" s="1" t="s">
        <v>2642</v>
      </c>
      <c r="N269" s="1" t="s">
        <v>2643</v>
      </c>
      <c r="O269" s="1" t="s">
        <v>2642</v>
      </c>
      <c r="P269" s="9"/>
      <c r="R269" s="16">
        <f ca="1">IF(ISNUMBER(SEARCH(INDIRECT(CELL("address")),S269)),MAX($R$1:R268)+1,0)</f>
        <v>268</v>
      </c>
      <c r="S269" s="18" t="str">
        <f>Table1[[#This Row],[Portico_Specialty]]&amp;"-"&amp;Table1[[#This Row],[Code]]</f>
        <v>General Acute Care Hospital: Rural-282NR1301X</v>
      </c>
      <c r="U269" s="16" t="str">
        <f ca="1">IFERROR(VLOOKUP(ROWS($U$1:U268),$R$2:$S$918,2,FALSE),"")</f>
        <v>General Acute Care Hospital: Rural-282NR1301X</v>
      </c>
    </row>
    <row r="270" spans="1:21" x14ac:dyDescent="0.3">
      <c r="A270" s="21" t="s">
        <v>1511</v>
      </c>
      <c r="B270" s="21" t="str">
        <f>Table1[[#This Row],[Code]]&amp;" "&amp;Table1[[#This Row],[Portico_Specialty]]</f>
        <v>282NW0100X General Acute Care Hospital: Women</v>
      </c>
      <c r="C270" s="21" t="str">
        <f>CLEAN(Table1[[#This Row],[Code]])</f>
        <v>282NW0100X</v>
      </c>
      <c r="D270" s="1" t="s">
        <v>1512</v>
      </c>
      <c r="E270" s="1"/>
      <c r="F270" s="1" t="s">
        <v>2587</v>
      </c>
      <c r="G270" s="3" t="s">
        <v>2588</v>
      </c>
      <c r="H270" s="1" t="s">
        <v>2642</v>
      </c>
      <c r="I270" s="1"/>
      <c r="J270" s="1" t="s">
        <v>2642</v>
      </c>
      <c r="K270" s="1" t="s">
        <v>2642</v>
      </c>
      <c r="L270" s="1" t="s">
        <v>2642</v>
      </c>
      <c r="M270" s="1" t="s">
        <v>2642</v>
      </c>
      <c r="N270" s="1" t="s">
        <v>2643</v>
      </c>
      <c r="O270" s="1" t="s">
        <v>2642</v>
      </c>
      <c r="P270" s="9"/>
      <c r="R270" s="16">
        <f ca="1">IF(ISNUMBER(SEARCH(INDIRECT(CELL("address")),S270)),MAX($R$1:R269)+1,0)</f>
        <v>269</v>
      </c>
      <c r="S270" s="18" t="str">
        <f>Table1[[#This Row],[Portico_Specialty]]&amp;"-"&amp;Table1[[#This Row],[Code]]</f>
        <v>General Acute Care Hospital: Women-282NW0100X</v>
      </c>
      <c r="U270" s="16" t="str">
        <f ca="1">IFERROR(VLOOKUP(ROWS($U$1:U269),$R$2:$S$918,2,FALSE),"")</f>
        <v>General Acute Care Hospital: Women-282NW0100X</v>
      </c>
    </row>
    <row r="271" spans="1:21" x14ac:dyDescent="0.3">
      <c r="A271" s="21" t="s">
        <v>983</v>
      </c>
      <c r="B271" s="21" t="str">
        <f>Table1[[#This Row],[Code]]&amp;" "&amp;Table1[[#This Row],[Portico_Specialty]]</f>
        <v>208D00000X General Practice</v>
      </c>
      <c r="C271" s="21" t="str">
        <f>CLEAN(Table1[[#This Row],[Code]])</f>
        <v>208D00000X</v>
      </c>
      <c r="D271" s="1" t="s">
        <v>984</v>
      </c>
      <c r="E271" s="1"/>
      <c r="F271" s="1" t="s">
        <v>2587</v>
      </c>
      <c r="G271" s="4" t="s">
        <v>2593</v>
      </c>
      <c r="H271" s="1" t="s">
        <v>2708</v>
      </c>
      <c r="I271" s="1"/>
      <c r="J271" s="1" t="s">
        <v>2708</v>
      </c>
      <c r="K271" s="1" t="s">
        <v>2708</v>
      </c>
      <c r="L271" s="1" t="s">
        <v>2708</v>
      </c>
      <c r="M271" s="1" t="s">
        <v>2708</v>
      </c>
      <c r="N271" s="1" t="s">
        <v>2708</v>
      </c>
      <c r="O271" s="1" t="s">
        <v>2708</v>
      </c>
      <c r="P271" s="9"/>
      <c r="R271" s="16">
        <f ca="1">IF(ISNUMBER(SEARCH(INDIRECT(CELL("address")),S271)),MAX($R$1:R270)+1,0)</f>
        <v>270</v>
      </c>
      <c r="S271" s="18" t="str">
        <f>Table1[[#This Row],[Portico_Specialty]]&amp;"-"&amp;Table1[[#This Row],[Code]]</f>
        <v>General Practice-208D00000X</v>
      </c>
      <c r="U271" s="16" t="str">
        <f ca="1">IFERROR(VLOOKUP(ROWS($U$1:U270),$R$2:$S$918,2,FALSE),"")</f>
        <v>General Practice-208D00000X</v>
      </c>
    </row>
    <row r="272" spans="1:21" x14ac:dyDescent="0.3">
      <c r="A272" s="21" t="s">
        <v>441</v>
      </c>
      <c r="B272" s="21" t="str">
        <f>Table1[[#This Row],[Code]]&amp;" "&amp;Table1[[#This Row],[Portico_Specialty]]</f>
        <v>170300000X Genetic Counselor, MS</v>
      </c>
      <c r="C272" s="21" t="str">
        <f>CLEAN(Table1[[#This Row],[Code]])</f>
        <v>170300000X</v>
      </c>
      <c r="D272" s="1" t="s">
        <v>442</v>
      </c>
      <c r="E272" s="1"/>
      <c r="F272" s="1" t="s">
        <v>2587</v>
      </c>
      <c r="G272" s="3" t="s">
        <v>2588</v>
      </c>
      <c r="H272" s="1" t="s">
        <v>2612</v>
      </c>
      <c r="I272" s="1"/>
      <c r="J272" s="1" t="s">
        <v>2650</v>
      </c>
      <c r="K272" s="1" t="s">
        <v>2650</v>
      </c>
      <c r="L272" s="1" t="s">
        <v>2650</v>
      </c>
      <c r="M272" s="1" t="s">
        <v>2650</v>
      </c>
      <c r="N272" s="1" t="s">
        <v>2713</v>
      </c>
      <c r="O272" s="1" t="s">
        <v>2650</v>
      </c>
      <c r="P272" s="9"/>
      <c r="R272" s="16">
        <f ca="1">IF(ISNUMBER(SEARCH(INDIRECT(CELL("address")),S272)),MAX($R$1:R271)+1,0)</f>
        <v>271</v>
      </c>
      <c r="S272" s="18" t="str">
        <f>Table1[[#This Row],[Portico_Specialty]]&amp;"-"&amp;Table1[[#This Row],[Code]]</f>
        <v>Genetic Counselor, MS-170300000X</v>
      </c>
      <c r="U272" s="16" t="str">
        <f ca="1">IFERROR(VLOOKUP(ROWS($U$1:U271),$R$2:$S$918,2,FALSE),"")</f>
        <v>Genetic Counselor, MS-170300000X</v>
      </c>
    </row>
    <row r="273" spans="1:21" x14ac:dyDescent="0.3">
      <c r="A273" s="21" t="s">
        <v>489</v>
      </c>
      <c r="B273" s="21" t="str">
        <f>Table1[[#This Row],[Code]]&amp;" "&amp;Table1[[#This Row],[Portico_Specialty]]</f>
        <v>174H00000X Health Educator</v>
      </c>
      <c r="C273" s="21" t="str">
        <f>CLEAN(Table1[[#This Row],[Code]])</f>
        <v>174H00000X</v>
      </c>
      <c r="D273" s="1" t="s">
        <v>490</v>
      </c>
      <c r="E273" s="1"/>
      <c r="F273" s="1" t="s">
        <v>2587</v>
      </c>
      <c r="G273" s="3" t="s">
        <v>2588</v>
      </c>
      <c r="H273" s="1" t="s">
        <v>2615</v>
      </c>
      <c r="I273" s="1"/>
      <c r="J273" s="1" t="s">
        <v>2590</v>
      </c>
      <c r="K273" s="1" t="s">
        <v>2682</v>
      </c>
      <c r="L273" s="1"/>
      <c r="M273" s="1"/>
      <c r="N273" s="1"/>
      <c r="O273" s="1" t="s">
        <v>2682</v>
      </c>
      <c r="P273" s="9"/>
      <c r="R273" s="16">
        <f ca="1">IF(ISNUMBER(SEARCH(INDIRECT(CELL("address")),S273)),MAX($R$1:R272)+1,0)</f>
        <v>272</v>
      </c>
      <c r="S273" s="18" t="str">
        <f>Table1[[#This Row],[Portico_Specialty]]&amp;"-"&amp;Table1[[#This Row],[Code]]</f>
        <v>Health Educator-174H00000X</v>
      </c>
      <c r="U273" s="16" t="str">
        <f ca="1">IFERROR(VLOOKUP(ROWS($U$1:U272),$R$2:$S$918,2,FALSE),"")</f>
        <v>Health Educator-174H00000X</v>
      </c>
    </row>
    <row r="274" spans="1:21" x14ac:dyDescent="0.3">
      <c r="A274" s="21" t="s">
        <v>1541</v>
      </c>
      <c r="B274" s="21" t="str">
        <f>Table1[[#This Row],[Code]]&amp;" "&amp;Table1[[#This Row],[Portico_Specialty]]</f>
        <v>302R00000X Health Maintenance Organization</v>
      </c>
      <c r="C274" s="21" t="str">
        <f>CLEAN(Table1[[#This Row],[Code]])</f>
        <v>302R00000X</v>
      </c>
      <c r="D274" s="1" t="s">
        <v>1542</v>
      </c>
      <c r="E274" s="1"/>
      <c r="F274" s="1" t="s">
        <v>2587</v>
      </c>
      <c r="G274" s="3" t="s">
        <v>2588</v>
      </c>
      <c r="H274" s="1" t="s">
        <v>2590</v>
      </c>
      <c r="I274" s="1"/>
      <c r="J274" s="1" t="s">
        <v>2590</v>
      </c>
      <c r="K274" s="1" t="s">
        <v>2703</v>
      </c>
      <c r="L274" s="1" t="s">
        <v>2590</v>
      </c>
      <c r="M274" s="1" t="s">
        <v>2615</v>
      </c>
      <c r="N274" s="1" t="s">
        <v>2590</v>
      </c>
      <c r="O274" s="1" t="s">
        <v>2703</v>
      </c>
      <c r="P274" s="9"/>
      <c r="R274" s="16">
        <f ca="1">IF(ISNUMBER(SEARCH(INDIRECT(CELL("address")),S274)),MAX($R$1:R273)+1,0)</f>
        <v>273</v>
      </c>
      <c r="S274" s="18" t="str">
        <f>Table1[[#This Row],[Portico_Specialty]]&amp;"-"&amp;Table1[[#This Row],[Code]]</f>
        <v>Health Maintenance Organization-302R00000X</v>
      </c>
      <c r="U274" s="16" t="str">
        <f ca="1">IFERROR(VLOOKUP(ROWS($U$1:U273),$R$2:$S$918,2,FALSE),"")</f>
        <v>Health Maintenance Organization-302R00000X</v>
      </c>
    </row>
    <row r="275" spans="1:21" x14ac:dyDescent="0.3">
      <c r="A275" s="21" t="s">
        <v>1615</v>
      </c>
      <c r="B275" s="21" t="str">
        <f>Table1[[#This Row],[Code]]&amp;" "&amp;Table1[[#This Row],[Portico_Specialty]]</f>
        <v>332S00000X Hearing Aid Equipment</v>
      </c>
      <c r="C275" s="21" t="str">
        <f>CLEAN(Table1[[#This Row],[Code]])</f>
        <v>332S00000X</v>
      </c>
      <c r="D275" s="1" t="s">
        <v>1616</v>
      </c>
      <c r="E275" s="1"/>
      <c r="F275" s="1" t="s">
        <v>2587</v>
      </c>
      <c r="G275" s="3" t="s">
        <v>2588</v>
      </c>
      <c r="H275" s="1" t="s">
        <v>2714</v>
      </c>
      <c r="I275" s="1"/>
      <c r="J275" s="1" t="s">
        <v>2590</v>
      </c>
      <c r="K275" s="1" t="s">
        <v>2698</v>
      </c>
      <c r="L275" s="1" t="s">
        <v>2615</v>
      </c>
      <c r="M275" s="1" t="s">
        <v>2698</v>
      </c>
      <c r="N275" s="1" t="s">
        <v>2590</v>
      </c>
      <c r="O275" s="1" t="s">
        <v>2698</v>
      </c>
      <c r="P275" s="9"/>
      <c r="R275" s="16">
        <f ca="1">IF(ISNUMBER(SEARCH(INDIRECT(CELL("address")),S275)),MAX($R$1:R274)+1,0)</f>
        <v>274</v>
      </c>
      <c r="S275" s="18" t="str">
        <f>Table1[[#This Row],[Portico_Specialty]]&amp;"-"&amp;Table1[[#This Row],[Code]]</f>
        <v>Hearing Aid Equipment-332S00000X</v>
      </c>
      <c r="U275" s="16" t="str">
        <f ca="1">IFERROR(VLOOKUP(ROWS($U$1:U274),$R$2:$S$918,2,FALSE),"")</f>
        <v>Hearing Aid Equipment-332S00000X</v>
      </c>
    </row>
    <row r="276" spans="1:21" x14ac:dyDescent="0.3">
      <c r="A276" s="21" t="s">
        <v>1195</v>
      </c>
      <c r="B276" s="21" t="str">
        <f>Table1[[#This Row],[Code]]&amp;" "&amp;Table1[[#This Row],[Portico_Specialty]]</f>
        <v>237700000X Hearing Instrument Specialist</v>
      </c>
      <c r="C276" s="21" t="str">
        <f>CLEAN(Table1[[#This Row],[Code]])</f>
        <v>237700000X</v>
      </c>
      <c r="D276" s="1" t="s">
        <v>1196</v>
      </c>
      <c r="E276" s="1"/>
      <c r="F276" s="1" t="s">
        <v>2587</v>
      </c>
      <c r="G276" s="3" t="s">
        <v>2588</v>
      </c>
      <c r="H276" s="1" t="s">
        <v>2611</v>
      </c>
      <c r="I276" s="1"/>
      <c r="J276" s="1" t="s">
        <v>2611</v>
      </c>
      <c r="K276" s="1" t="s">
        <v>2611</v>
      </c>
      <c r="L276" s="1" t="s">
        <v>2651</v>
      </c>
      <c r="M276" s="1" t="s">
        <v>2611</v>
      </c>
      <c r="N276" s="1" t="s">
        <v>2611</v>
      </c>
      <c r="O276" s="1" t="s">
        <v>2611</v>
      </c>
      <c r="P276" s="9"/>
      <c r="R276" s="16">
        <f ca="1">IF(ISNUMBER(SEARCH(INDIRECT(CELL("address")),S276)),MAX($R$1:R275)+1,0)</f>
        <v>275</v>
      </c>
      <c r="S276" s="18" t="str">
        <f>Table1[[#This Row],[Portico_Specialty]]&amp;"-"&amp;Table1[[#This Row],[Code]]</f>
        <v>Hearing Instrument Specialist-237700000X</v>
      </c>
      <c r="U276" s="16" t="str">
        <f ca="1">IFERROR(VLOOKUP(ROWS($U$1:U275),$R$2:$S$918,2,FALSE),"")</f>
        <v>Hearing Instrument Specialist-237700000X</v>
      </c>
    </row>
    <row r="277" spans="1:21" x14ac:dyDescent="0.3">
      <c r="A277" s="21" t="s">
        <v>1617</v>
      </c>
      <c r="B277" s="21" t="str">
        <f>Table1[[#This Row],[Code]]&amp;" "&amp;Table1[[#This Row],[Portico_Specialty]]</f>
        <v>332U00000X Home Delivered Meals</v>
      </c>
      <c r="C277" s="21" t="str">
        <f>CLEAN(Table1[[#This Row],[Code]])</f>
        <v>332U00000X</v>
      </c>
      <c r="D277" s="1" t="s">
        <v>1618</v>
      </c>
      <c r="E277" s="1"/>
      <c r="F277" s="1" t="s">
        <v>2587</v>
      </c>
      <c r="G277" s="3" t="s">
        <v>2588</v>
      </c>
      <c r="H277" s="1" t="s">
        <v>2615</v>
      </c>
      <c r="I277" s="1"/>
      <c r="J277" s="1" t="s">
        <v>2590</v>
      </c>
      <c r="K277" s="1" t="s">
        <v>2590</v>
      </c>
      <c r="L277" s="1" t="s">
        <v>2615</v>
      </c>
      <c r="M277" s="1" t="s">
        <v>2615</v>
      </c>
      <c r="N277" s="1" t="s">
        <v>2590</v>
      </c>
      <c r="O277" s="1" t="s">
        <v>2590</v>
      </c>
      <c r="P277" s="9"/>
      <c r="R277" s="16">
        <f ca="1">IF(ISNUMBER(SEARCH(INDIRECT(CELL("address")),S277)),MAX($R$1:R276)+1,0)</f>
        <v>276</v>
      </c>
      <c r="S277" s="18" t="str">
        <f>Table1[[#This Row],[Portico_Specialty]]&amp;"-"&amp;Table1[[#This Row],[Code]]</f>
        <v>Home Delivered Meals-332U00000X</v>
      </c>
      <c r="U277" s="16" t="str">
        <f ca="1">IFERROR(VLOOKUP(ROWS($U$1:U276),$R$2:$S$918,2,FALSE),"")</f>
        <v>Home Delivered Meals-332U00000X</v>
      </c>
    </row>
    <row r="278" spans="1:21" x14ac:dyDescent="0.3">
      <c r="A278" s="21" t="s">
        <v>1335</v>
      </c>
      <c r="B278" s="21" t="str">
        <f>Table1[[#This Row],[Code]]&amp;" "&amp;Table1[[#This Row],[Portico_Specialty]]</f>
        <v>251E00000X Home Health</v>
      </c>
      <c r="C278" s="21" t="str">
        <f>CLEAN(Table1[[#This Row],[Code]])</f>
        <v>251E00000X</v>
      </c>
      <c r="D278" s="1" t="s">
        <v>1336</v>
      </c>
      <c r="E278" s="1"/>
      <c r="F278" s="1" t="s">
        <v>2587</v>
      </c>
      <c r="G278" s="4" t="s">
        <v>2593</v>
      </c>
      <c r="H278" s="1" t="s">
        <v>2591</v>
      </c>
      <c r="I278" s="1"/>
      <c r="J278" s="1" t="s">
        <v>2591</v>
      </c>
      <c r="K278" s="1" t="s">
        <v>2591</v>
      </c>
      <c r="L278" s="1" t="s">
        <v>2591</v>
      </c>
      <c r="M278" s="1" t="s">
        <v>2591</v>
      </c>
      <c r="N278" s="1" t="s">
        <v>2623</v>
      </c>
      <c r="O278" s="1" t="s">
        <v>2591</v>
      </c>
      <c r="P278" s="9"/>
      <c r="R278" s="16">
        <f ca="1">IF(ISNUMBER(SEARCH(INDIRECT(CELL("address")),S278)),MAX($R$1:R277)+1,0)</f>
        <v>277</v>
      </c>
      <c r="S278" s="18" t="str">
        <f>Table1[[#This Row],[Portico_Specialty]]&amp;"-"&amp;Table1[[#This Row],[Code]]</f>
        <v>Home Health-251E00000X</v>
      </c>
      <c r="U278" s="16" t="str">
        <f ca="1">IFERROR(VLOOKUP(ROWS($U$1:U277),$R$2:$S$918,2,FALSE),"")</f>
        <v>Home Health-251E00000X</v>
      </c>
    </row>
    <row r="279" spans="1:21" x14ac:dyDescent="0.3">
      <c r="A279" s="21" t="s">
        <v>1819</v>
      </c>
      <c r="B279" s="21" t="str">
        <f>Table1[[#This Row],[Code]]&amp;" "&amp;Table1[[#This Row],[Portico_Specialty]]</f>
        <v>374U00000X Home Health Aide</v>
      </c>
      <c r="C279" s="21" t="str">
        <f>CLEAN(Table1[[#This Row],[Code]])</f>
        <v>374U00000X</v>
      </c>
      <c r="D279" s="1" t="s">
        <v>1820</v>
      </c>
      <c r="E279" s="1"/>
      <c r="F279" s="1" t="s">
        <v>2587</v>
      </c>
      <c r="G279" s="3" t="s">
        <v>2588</v>
      </c>
      <c r="H279" s="1" t="s">
        <v>2591</v>
      </c>
      <c r="I279" s="1"/>
      <c r="J279" s="1" t="s">
        <v>2591</v>
      </c>
      <c r="K279" s="1" t="s">
        <v>2591</v>
      </c>
      <c r="L279" s="1" t="s">
        <v>2591</v>
      </c>
      <c r="M279" s="1" t="s">
        <v>2591</v>
      </c>
      <c r="N279" s="1"/>
      <c r="O279" s="1" t="s">
        <v>2591</v>
      </c>
      <c r="P279" s="9"/>
      <c r="R279" s="16">
        <f ca="1">IF(ISNUMBER(SEARCH(INDIRECT(CELL("address")),S279)),MAX($R$1:R278)+1,0)</f>
        <v>278</v>
      </c>
      <c r="S279" s="18" t="str">
        <f>Table1[[#This Row],[Portico_Specialty]]&amp;"-"&amp;Table1[[#This Row],[Code]]</f>
        <v>Home Health Aide-374U00000X</v>
      </c>
      <c r="U279" s="16" t="str">
        <f ca="1">IFERROR(VLOOKUP(ROWS($U$1:U278),$R$2:$S$918,2,FALSE),"")</f>
        <v>Home Health Aide-374U00000X</v>
      </c>
    </row>
    <row r="280" spans="1:21" x14ac:dyDescent="0.3">
      <c r="A280" s="21" t="s">
        <v>1337</v>
      </c>
      <c r="B280" s="21" t="str">
        <f>Table1[[#This Row],[Code]]&amp;" "&amp;Table1[[#This Row],[Portico_Specialty]]</f>
        <v>251F00000X Home Infusion</v>
      </c>
      <c r="C280" s="21" t="str">
        <f>CLEAN(Table1[[#This Row],[Code]])</f>
        <v>251F00000X</v>
      </c>
      <c r="D280" s="1" t="s">
        <v>1338</v>
      </c>
      <c r="E280" s="1"/>
      <c r="F280" s="1" t="s">
        <v>2587</v>
      </c>
      <c r="G280" s="3" t="s">
        <v>2588</v>
      </c>
      <c r="H280" s="1" t="s">
        <v>2715</v>
      </c>
      <c r="I280" s="1"/>
      <c r="J280" s="1" t="s">
        <v>2715</v>
      </c>
      <c r="K280" s="1" t="s">
        <v>2715</v>
      </c>
      <c r="L280" s="1" t="s">
        <v>2715</v>
      </c>
      <c r="M280" s="1" t="s">
        <v>2715</v>
      </c>
      <c r="N280" s="1" t="s">
        <v>2623</v>
      </c>
      <c r="O280" s="1" t="s">
        <v>2715</v>
      </c>
      <c r="P280" s="9"/>
      <c r="R280" s="16">
        <f ca="1">IF(ISNUMBER(SEARCH(INDIRECT(CELL("address")),S280)),MAX($R$1:R279)+1,0)</f>
        <v>279</v>
      </c>
      <c r="S280" s="18" t="str">
        <f>Table1[[#This Row],[Portico_Specialty]]&amp;"-"&amp;Table1[[#This Row],[Code]]</f>
        <v>Home Infusion-251F00000X</v>
      </c>
      <c r="U280" s="16" t="str">
        <f ca="1">IFERROR(VLOOKUP(ROWS($U$1:U279),$R$2:$S$918,2,FALSE),"")</f>
        <v>Home Infusion-251F00000X</v>
      </c>
    </row>
    <row r="281" spans="1:21" x14ac:dyDescent="0.3">
      <c r="A281" s="21" t="s">
        <v>1823</v>
      </c>
      <c r="B281" s="21" t="str">
        <f>Table1[[#This Row],[Code]]&amp;" "&amp;Table1[[#This Row],[Portico_Specialty]]</f>
        <v>376J00000X Homemaker</v>
      </c>
      <c r="C281" s="21" t="str">
        <f>CLEAN(Table1[[#This Row],[Code]])</f>
        <v>376J00000X</v>
      </c>
      <c r="D281" s="1" t="s">
        <v>1824</v>
      </c>
      <c r="E281" s="1"/>
      <c r="F281" s="1" t="s">
        <v>2587</v>
      </c>
      <c r="G281" s="3" t="s">
        <v>2588</v>
      </c>
      <c r="H281" s="1" t="s">
        <v>2591</v>
      </c>
      <c r="I281" s="1"/>
      <c r="J281" s="1" t="s">
        <v>2591</v>
      </c>
      <c r="K281" s="1" t="s">
        <v>2591</v>
      </c>
      <c r="L281" s="1" t="s">
        <v>2591</v>
      </c>
      <c r="M281" s="1" t="s">
        <v>2591</v>
      </c>
      <c r="N281" s="1" t="s">
        <v>2623</v>
      </c>
      <c r="O281" s="1" t="s">
        <v>2591</v>
      </c>
      <c r="P281" s="9"/>
      <c r="R281" s="16">
        <f ca="1">IF(ISNUMBER(SEARCH(INDIRECT(CELL("address")),S281)),MAX($R$1:R280)+1,0)</f>
        <v>280</v>
      </c>
      <c r="S281" s="18" t="str">
        <f>Table1[[#This Row],[Portico_Specialty]]&amp;"-"&amp;Table1[[#This Row],[Code]]</f>
        <v>Homemaker-376J00000X</v>
      </c>
      <c r="U281" s="16" t="str">
        <f ca="1">IFERROR(VLOOKUP(ROWS($U$1:U280),$R$2:$S$918,2,FALSE),"")</f>
        <v>Homemaker-376J00000X</v>
      </c>
    </row>
    <row r="282" spans="1:21" x14ac:dyDescent="0.3">
      <c r="A282" s="21" t="s">
        <v>501</v>
      </c>
      <c r="B282" s="21" t="str">
        <f>Table1[[#This Row],[Code]]&amp;" "&amp;Table1[[#This Row],[Portico_Specialty]]</f>
        <v>175L00000X Homeopath</v>
      </c>
      <c r="C282" s="21" t="str">
        <f>CLEAN(Table1[[#This Row],[Code]])</f>
        <v>175L00000X</v>
      </c>
      <c r="D282" s="1" t="s">
        <v>502</v>
      </c>
      <c r="E282" s="1"/>
      <c r="F282" s="1" t="s">
        <v>2587</v>
      </c>
      <c r="G282" s="3" t="s">
        <v>2588</v>
      </c>
      <c r="H282" s="1" t="s">
        <v>2615</v>
      </c>
      <c r="I282" s="1"/>
      <c r="J282" s="1" t="s">
        <v>2590</v>
      </c>
      <c r="K282" s="1" t="s">
        <v>2590</v>
      </c>
      <c r="L282" s="1"/>
      <c r="M282" s="1"/>
      <c r="N282" s="1"/>
      <c r="O282" s="1" t="s">
        <v>2590</v>
      </c>
      <c r="P282" s="9"/>
      <c r="R282" s="16">
        <f ca="1">IF(ISNUMBER(SEARCH(INDIRECT(CELL("address")),S282)),MAX($R$1:R281)+1,0)</f>
        <v>281</v>
      </c>
      <c r="S282" s="18" t="str">
        <f>Table1[[#This Row],[Portico_Specialty]]&amp;"-"&amp;Table1[[#This Row],[Code]]</f>
        <v>Homeopath-175L00000X</v>
      </c>
      <c r="U282" s="16" t="str">
        <f ca="1">IFERROR(VLOOKUP(ROWS($U$1:U281),$R$2:$S$918,2,FALSE),"")</f>
        <v>Homeopath-175L00000X</v>
      </c>
    </row>
    <row r="283" spans="1:21" x14ac:dyDescent="0.3">
      <c r="A283" s="21" t="s">
        <v>647</v>
      </c>
      <c r="B283" s="21" t="str">
        <f>Table1[[#This Row],[Code]]&amp;" "&amp;Table1[[#This Row],[Portico_Specialty]]</f>
        <v>207RH0002X Hospice and Palliative Medicine</v>
      </c>
      <c r="C283" s="21" t="str">
        <f>CLEAN(Table1[[#This Row],[Code]])</f>
        <v>207RH0002X</v>
      </c>
      <c r="D283" s="1" t="s">
        <v>648</v>
      </c>
      <c r="E283" s="1"/>
      <c r="F283" s="1" t="s">
        <v>2587</v>
      </c>
      <c r="G283" s="4" t="s">
        <v>2593</v>
      </c>
      <c r="H283" s="1"/>
      <c r="I283" s="1"/>
      <c r="J283" s="1" t="s">
        <v>2716</v>
      </c>
      <c r="K283" s="1" t="s">
        <v>2716</v>
      </c>
      <c r="L283" s="1"/>
      <c r="M283" s="1" t="s">
        <v>2716</v>
      </c>
      <c r="N283" s="1" t="s">
        <v>2717</v>
      </c>
      <c r="O283" s="1" t="s">
        <v>2716</v>
      </c>
      <c r="P283" s="9"/>
      <c r="R283" s="16">
        <f ca="1">IF(ISNUMBER(SEARCH(INDIRECT(CELL("address")),S283)),MAX($R$1:R282)+1,0)</f>
        <v>282</v>
      </c>
      <c r="S283" s="18" t="str">
        <f>Table1[[#This Row],[Portico_Specialty]]&amp;"-"&amp;Table1[[#This Row],[Code]]</f>
        <v>Hospice and Palliative Medicine-207RH0002X</v>
      </c>
      <c r="U283" s="16" t="str">
        <f ca="1">IFERROR(VLOOKUP(ROWS($U$1:U282),$R$2:$S$918,2,FALSE),"")</f>
        <v>Hospice and Palliative Medicine-207RH0002X</v>
      </c>
    </row>
    <row r="284" spans="1:21" x14ac:dyDescent="0.3">
      <c r="A284" s="21" t="s">
        <v>1339</v>
      </c>
      <c r="B284" s="21" t="str">
        <f>Table1[[#This Row],[Code]]&amp;" "&amp;Table1[[#This Row],[Portico_Specialty]]</f>
        <v>251G00000X Hospice Care, Community Based</v>
      </c>
      <c r="C284" s="21" t="str">
        <f>CLEAN(Table1[[#This Row],[Code]])</f>
        <v>251G00000X</v>
      </c>
      <c r="D284" s="1" t="s">
        <v>1340</v>
      </c>
      <c r="E284" s="1"/>
      <c r="F284" s="1" t="s">
        <v>2587</v>
      </c>
      <c r="G284" s="4" t="s">
        <v>2593</v>
      </c>
      <c r="H284" s="1" t="s">
        <v>2718</v>
      </c>
      <c r="I284" s="1"/>
      <c r="J284" s="1" t="s">
        <v>2718</v>
      </c>
      <c r="K284" s="1" t="s">
        <v>2718</v>
      </c>
      <c r="L284" s="1" t="s">
        <v>2718</v>
      </c>
      <c r="M284" s="1" t="s">
        <v>2718</v>
      </c>
      <c r="N284" s="1" t="s">
        <v>2717</v>
      </c>
      <c r="O284" s="1" t="s">
        <v>2718</v>
      </c>
      <c r="P284" s="9"/>
      <c r="R284" s="16">
        <f ca="1">IF(ISNUMBER(SEARCH(INDIRECT(CELL("address")),S284)),MAX($R$1:R283)+1,0)</f>
        <v>283</v>
      </c>
      <c r="S284" s="18" t="str">
        <f>Table1[[#This Row],[Portico_Specialty]]&amp;"-"&amp;Table1[[#This Row],[Code]]</f>
        <v>Hospice Care, Community Based-251G00000X</v>
      </c>
      <c r="U284" s="16" t="str">
        <f ca="1">IFERROR(VLOOKUP(ROWS($U$1:U283),$R$2:$S$918,2,FALSE),"")</f>
        <v>Hospice Care, Community Based-251G00000X</v>
      </c>
    </row>
    <row r="285" spans="1:21" x14ac:dyDescent="0.3">
      <c r="A285" s="21" t="s">
        <v>1567</v>
      </c>
      <c r="B285" s="21" t="str">
        <f>Table1[[#This Row],[Code]]&amp;" "&amp;Table1[[#This Row],[Portico_Specialty]]</f>
        <v>315D00000X Hospice, Inpatient</v>
      </c>
      <c r="C285" s="21" t="str">
        <f>CLEAN(Table1[[#This Row],[Code]])</f>
        <v>315D00000X</v>
      </c>
      <c r="D285" s="1" t="s">
        <v>1568</v>
      </c>
      <c r="E285" s="1"/>
      <c r="F285" s="1" t="s">
        <v>2587</v>
      </c>
      <c r="G285" s="3" t="s">
        <v>2588</v>
      </c>
      <c r="H285" s="1" t="s">
        <v>2718</v>
      </c>
      <c r="I285" s="1"/>
      <c r="J285" s="1" t="s">
        <v>2718</v>
      </c>
      <c r="K285" s="1" t="s">
        <v>2598</v>
      </c>
      <c r="L285" s="1" t="s">
        <v>2718</v>
      </c>
      <c r="M285" s="1" t="s">
        <v>2718</v>
      </c>
      <c r="N285" s="1" t="s">
        <v>2717</v>
      </c>
      <c r="O285" s="1" t="s">
        <v>2598</v>
      </c>
      <c r="P285" s="9"/>
      <c r="R285" s="16">
        <f ca="1">IF(ISNUMBER(SEARCH(INDIRECT(CELL("address")),S285)),MAX($R$1:R284)+1,0)</f>
        <v>284</v>
      </c>
      <c r="S285" s="18" t="str">
        <f>Table1[[#This Row],[Portico_Specialty]]&amp;"-"&amp;Table1[[#This Row],[Code]]</f>
        <v>Hospice, Inpatient-315D00000X</v>
      </c>
      <c r="U285" s="16" t="str">
        <f ca="1">IFERROR(VLOOKUP(ROWS($U$1:U284),$R$2:$S$918,2,FALSE),"")</f>
        <v>Hospice, Inpatient-315D00000X</v>
      </c>
    </row>
    <row r="286" spans="1:21" x14ac:dyDescent="0.3">
      <c r="A286" s="21" t="s">
        <v>987</v>
      </c>
      <c r="B286" s="21" t="str">
        <f>Table1[[#This Row],[Code]]&amp;" "&amp;Table1[[#This Row],[Portico_Specialty]]</f>
        <v>208M00000X Hospitalist</v>
      </c>
      <c r="C286" s="21" t="str">
        <f>CLEAN(Table1[[#This Row],[Code]])</f>
        <v>208M00000X</v>
      </c>
      <c r="D286" s="1" t="s">
        <v>988</v>
      </c>
      <c r="E286" s="1"/>
      <c r="F286" s="1" t="s">
        <v>2587</v>
      </c>
      <c r="G286" s="4" t="s">
        <v>2593</v>
      </c>
      <c r="H286" s="1" t="s">
        <v>2716</v>
      </c>
      <c r="I286" s="1"/>
      <c r="J286" s="1" t="s">
        <v>2716</v>
      </c>
      <c r="K286" s="1" t="s">
        <v>2702</v>
      </c>
      <c r="L286" s="1" t="s">
        <v>2716</v>
      </c>
      <c r="M286" s="1" t="s">
        <v>2719</v>
      </c>
      <c r="N286" s="1" t="s">
        <v>2719</v>
      </c>
      <c r="O286" s="1" t="s">
        <v>2702</v>
      </c>
      <c r="P286" s="9"/>
      <c r="R286" s="16">
        <f ca="1">IF(ISNUMBER(SEARCH(INDIRECT(CELL("address")),S286)),MAX($R$1:R285)+1,0)</f>
        <v>285</v>
      </c>
      <c r="S286" s="18" t="str">
        <f>Table1[[#This Row],[Portico_Specialty]]&amp;"-"&amp;Table1[[#This Row],[Code]]</f>
        <v>Hospitalist-208M00000X</v>
      </c>
      <c r="U286" s="16" t="str">
        <f ca="1">IFERROR(VLOOKUP(ROWS($U$1:U285),$R$2:$S$918,2,FALSE),"")</f>
        <v>Hospitalist-208M00000X</v>
      </c>
    </row>
    <row r="287" spans="1:21" x14ac:dyDescent="0.3">
      <c r="A287" s="21" t="s">
        <v>651</v>
      </c>
      <c r="B287" s="21" t="str">
        <f>Table1[[#This Row],[Code]]&amp;" "&amp;Table1[[#This Row],[Portico_Specialty]]</f>
        <v>207RH0005X Hypertension Specialist</v>
      </c>
      <c r="C287" s="21" t="str">
        <f>CLEAN(Table1[[#This Row],[Code]])</f>
        <v>207RH0005X</v>
      </c>
      <c r="D287" s="1" t="s">
        <v>652</v>
      </c>
      <c r="E287" s="1"/>
      <c r="F287" s="1" t="s">
        <v>2587</v>
      </c>
      <c r="G287" s="3" t="s">
        <v>2588</v>
      </c>
      <c r="H287" s="1"/>
      <c r="I287" s="1"/>
      <c r="J287" s="1" t="s">
        <v>2590</v>
      </c>
      <c r="K287" s="1" t="s">
        <v>2720</v>
      </c>
      <c r="L287" s="1"/>
      <c r="M287" s="1"/>
      <c r="N287" s="1"/>
      <c r="O287" s="1" t="s">
        <v>2720</v>
      </c>
      <c r="P287" s="9"/>
      <c r="R287" s="16">
        <f ca="1">IF(ISNUMBER(SEARCH(INDIRECT(CELL("address")),S287)),MAX($R$1:R286)+1,0)</f>
        <v>286</v>
      </c>
      <c r="S287" s="18" t="str">
        <f>Table1[[#This Row],[Portico_Specialty]]&amp;"-"&amp;Table1[[#This Row],[Code]]</f>
        <v>Hypertension Specialist-207RH0005X</v>
      </c>
      <c r="U287" s="16" t="str">
        <f ca="1">IFERROR(VLOOKUP(ROWS($U$1:U286),$R$2:$S$918,2,FALSE),"")</f>
        <v>Hypertension Specialist-207RH0005X</v>
      </c>
    </row>
    <row r="288" spans="1:21" x14ac:dyDescent="0.3">
      <c r="A288" s="21" t="s">
        <v>1357</v>
      </c>
      <c r="B288" s="21" t="str">
        <f>Table1[[#This Row],[Code]]&amp;" "&amp;Table1[[#This Row],[Portico_Specialty]]</f>
        <v>253Z00000X In Home Supportive Care</v>
      </c>
      <c r="C288" s="21" t="str">
        <f>CLEAN(Table1[[#This Row],[Code]])</f>
        <v>253Z00000X</v>
      </c>
      <c r="D288" s="1" t="s">
        <v>1358</v>
      </c>
      <c r="E288" s="1"/>
      <c r="F288" s="1" t="s">
        <v>2587</v>
      </c>
      <c r="G288" s="3" t="s">
        <v>2588</v>
      </c>
      <c r="H288" s="1" t="s">
        <v>2615</v>
      </c>
      <c r="I288" s="1"/>
      <c r="J288" s="1" t="s">
        <v>2591</v>
      </c>
      <c r="K288" s="1" t="s">
        <v>2591</v>
      </c>
      <c r="L288" s="1" t="s">
        <v>2621</v>
      </c>
      <c r="M288" s="1" t="s">
        <v>2591</v>
      </c>
      <c r="N288" s="1" t="s">
        <v>2623</v>
      </c>
      <c r="O288" s="1" t="s">
        <v>2591</v>
      </c>
      <c r="P288" s="9"/>
      <c r="R288" s="16">
        <f ca="1">IF(ISNUMBER(SEARCH(INDIRECT(CELL("address")),S288)),MAX($R$1:R287)+1,0)</f>
        <v>287</v>
      </c>
      <c r="S288" s="18" t="str">
        <f>Table1[[#This Row],[Portico_Specialty]]&amp;"-"&amp;Table1[[#This Row],[Code]]</f>
        <v>In Home Supportive Care-253Z00000X</v>
      </c>
      <c r="U288" s="16" t="str">
        <f ca="1">IFERROR(VLOOKUP(ROWS($U$1:U287),$R$2:$S$918,2,FALSE),"")</f>
        <v>In Home Supportive Care-253Z00000X</v>
      </c>
    </row>
    <row r="289" spans="1:21" x14ac:dyDescent="0.3">
      <c r="A289" s="21" t="s">
        <v>543</v>
      </c>
      <c r="B289" s="21" t="str">
        <f>Table1[[#This Row],[Code]]&amp;" "&amp;Table1[[#This Row],[Portico_Specialty]]</f>
        <v>202C00000X Independent Medical Examiner</v>
      </c>
      <c r="C289" s="21" t="str">
        <f>CLEAN(Table1[[#This Row],[Code]])</f>
        <v>202C00000X</v>
      </c>
      <c r="D289" s="1" t="s">
        <v>544</v>
      </c>
      <c r="E289" s="1"/>
      <c r="F289" s="1" t="s">
        <v>2587</v>
      </c>
      <c r="G289" s="3" t="s">
        <v>2588</v>
      </c>
      <c r="H289" s="1" t="s">
        <v>2590</v>
      </c>
      <c r="I289" s="1"/>
      <c r="J289" s="1" t="s">
        <v>2721</v>
      </c>
      <c r="K289" s="1" t="s">
        <v>2667</v>
      </c>
      <c r="L289" s="1"/>
      <c r="M289" s="1" t="s">
        <v>2721</v>
      </c>
      <c r="N289" s="1"/>
      <c r="O289" s="1" t="s">
        <v>2667</v>
      </c>
      <c r="P289" s="9"/>
      <c r="R289" s="16">
        <f ca="1">IF(ISNUMBER(SEARCH(INDIRECT(CELL("address")),S289)),MAX($R$1:R288)+1,0)</f>
        <v>288</v>
      </c>
      <c r="S289" s="18" t="str">
        <f>Table1[[#This Row],[Portico_Specialty]]&amp;"-"&amp;Table1[[#This Row],[Code]]</f>
        <v>Independent Medical Examiner-202C00000X</v>
      </c>
      <c r="U289" s="16" t="str">
        <f ca="1">IFERROR(VLOOKUP(ROWS($U$1:U288),$R$2:$S$918,2,FALSE),"")</f>
        <v>Independent Medical Examiner-202C00000X</v>
      </c>
    </row>
    <row r="290" spans="1:21" ht="30.75" x14ac:dyDescent="0.3">
      <c r="A290" s="21" t="s">
        <v>1595</v>
      </c>
      <c r="B290" s="21" t="str">
        <f>Table1[[#This Row],[Code]]&amp;" "&amp;Table1[[#This Row],[Portico_Specialty]]</f>
        <v>332800000X Indian Health Service/Tribal/Urban Indian Health (I/T/U) Pharmacy</v>
      </c>
      <c r="C290" s="21" t="str">
        <f>CLEAN(Table1[[#This Row],[Code]])</f>
        <v>332800000X</v>
      </c>
      <c r="D290" s="1" t="s">
        <v>1596</v>
      </c>
      <c r="E290" s="1"/>
      <c r="F290" s="1" t="s">
        <v>2587</v>
      </c>
      <c r="G290" s="3" t="s">
        <v>2588</v>
      </c>
      <c r="H290" s="1" t="s">
        <v>2621</v>
      </c>
      <c r="I290" s="1"/>
      <c r="J290" s="1" t="s">
        <v>2693</v>
      </c>
      <c r="K290" s="1" t="s">
        <v>2672</v>
      </c>
      <c r="L290" s="1" t="s">
        <v>2693</v>
      </c>
      <c r="M290" s="1" t="s">
        <v>2693</v>
      </c>
      <c r="N290" s="1" t="s">
        <v>2621</v>
      </c>
      <c r="O290" s="1" t="s">
        <v>2672</v>
      </c>
      <c r="P290" s="9"/>
      <c r="R290" s="16">
        <f ca="1">IF(ISNUMBER(SEARCH(INDIRECT(CELL("address")),S290)),MAX($R$1:R289)+1,0)</f>
        <v>289</v>
      </c>
      <c r="S290" s="18" t="str">
        <f>Table1[[#This Row],[Portico_Specialty]]&amp;"-"&amp;Table1[[#This Row],[Code]]</f>
        <v>Indian Health Service/Tribal/Urban Indian Health (I/T/U) Pharmacy-332800000X</v>
      </c>
      <c r="U290" s="16" t="str">
        <f ca="1">IFERROR(VLOOKUP(ROWS($U$1:U289),$R$2:$S$918,2,FALSE),"")</f>
        <v>Indian Health Service/Tribal/Urban Indian Health (I/T/U) Pharmacy-332800000X</v>
      </c>
    </row>
    <row r="291" spans="1:21" x14ac:dyDescent="0.3">
      <c r="A291" s="21" t="s">
        <v>1553</v>
      </c>
      <c r="B291" s="21" t="str">
        <f>Table1[[#This Row],[Code]]&amp;" "&amp;Table1[[#This Row],[Portico_Specialty]]</f>
        <v>310500000X Intermediate Care Facility, Mental Illness</v>
      </c>
      <c r="C291" s="21" t="str">
        <f>CLEAN(Table1[[#This Row],[Code]])</f>
        <v>310500000X</v>
      </c>
      <c r="D291" s="1" t="s">
        <v>1554</v>
      </c>
      <c r="E291" s="1"/>
      <c r="F291" s="1" t="s">
        <v>2587</v>
      </c>
      <c r="G291" s="3" t="s">
        <v>2588</v>
      </c>
      <c r="H291" s="1" t="s">
        <v>2598</v>
      </c>
      <c r="I291" s="1"/>
      <c r="J291" s="1" t="s">
        <v>2598</v>
      </c>
      <c r="K291" s="1" t="s">
        <v>2598</v>
      </c>
      <c r="L291" s="1" t="s">
        <v>2598</v>
      </c>
      <c r="M291" s="1" t="s">
        <v>2598</v>
      </c>
      <c r="N291" s="1" t="s">
        <v>2599</v>
      </c>
      <c r="O291" s="1" t="s">
        <v>2598</v>
      </c>
      <c r="P291" s="9"/>
      <c r="R291" s="16">
        <f ca="1">IF(ISNUMBER(SEARCH(INDIRECT(CELL("address")),S291)),MAX($R$1:R290)+1,0)</f>
        <v>290</v>
      </c>
      <c r="S291" s="18" t="str">
        <f>Table1[[#This Row],[Portico_Specialty]]&amp;"-"&amp;Table1[[#This Row],[Code]]</f>
        <v>Intermediate Care Facility, Mental Illness-310500000X</v>
      </c>
      <c r="U291" s="16" t="str">
        <f ca="1">IFERROR(VLOOKUP(ROWS($U$1:U290),$R$2:$S$918,2,FALSE),"")</f>
        <v>Intermediate Care Facility, Mental Illness-310500000X</v>
      </c>
    </row>
    <row r="292" spans="1:21" ht="30.75" x14ac:dyDescent="0.3">
      <c r="A292" s="21" t="s">
        <v>1569</v>
      </c>
      <c r="B292" s="21" t="str">
        <f>Table1[[#This Row],[Code]]&amp;" "&amp;Table1[[#This Row],[Portico_Specialty]]</f>
        <v>315P00000X Intermediate Care Facility, Mentally Retarded</v>
      </c>
      <c r="C292" s="21" t="str">
        <f>CLEAN(Table1[[#This Row],[Code]])</f>
        <v>315P00000X</v>
      </c>
      <c r="D292" s="1" t="s">
        <v>1570</v>
      </c>
      <c r="E292" s="1"/>
      <c r="F292" s="1" t="s">
        <v>2587</v>
      </c>
      <c r="G292" s="3" t="s">
        <v>2588</v>
      </c>
      <c r="H292" s="1" t="s">
        <v>2598</v>
      </c>
      <c r="I292" s="1"/>
      <c r="J292" s="1" t="s">
        <v>2598</v>
      </c>
      <c r="K292" s="1" t="s">
        <v>2598</v>
      </c>
      <c r="L292" s="1" t="s">
        <v>2598</v>
      </c>
      <c r="M292" s="1" t="s">
        <v>2598</v>
      </c>
      <c r="N292" s="1" t="s">
        <v>2599</v>
      </c>
      <c r="O292" s="1" t="s">
        <v>2598</v>
      </c>
      <c r="P292" s="9"/>
      <c r="R292" s="16">
        <f ca="1">IF(ISNUMBER(SEARCH(INDIRECT(CELL("address")),S292)),MAX($R$1:R291)+1,0)</f>
        <v>291</v>
      </c>
      <c r="S292" s="18" t="str">
        <f>Table1[[#This Row],[Portico_Specialty]]&amp;"-"&amp;Table1[[#This Row],[Code]]</f>
        <v>Intermediate Care Facility, Mentally Retarded-315P00000X</v>
      </c>
      <c r="U292" s="16" t="str">
        <f ca="1">IFERROR(VLOOKUP(ROWS($U$1:U291),$R$2:$S$918,2,FALSE),"")</f>
        <v>Intermediate Care Facility, Mentally Retarded-315P00000X</v>
      </c>
    </row>
    <row r="293" spans="1:21" x14ac:dyDescent="0.3">
      <c r="A293" s="21" t="s">
        <v>619</v>
      </c>
      <c r="B293" s="21" t="str">
        <f>Table1[[#This Row],[Code]]&amp;" "&amp;Table1[[#This Row],[Portico_Specialty]]</f>
        <v>207R00000X Internal Medicine</v>
      </c>
      <c r="C293" s="21" t="str">
        <f>CLEAN(Table1[[#This Row],[Code]])</f>
        <v>207R00000X</v>
      </c>
      <c r="D293" s="1" t="s">
        <v>620</v>
      </c>
      <c r="E293" s="1"/>
      <c r="F293" s="4" t="s">
        <v>2619</v>
      </c>
      <c r="G293" s="4" t="s">
        <v>2593</v>
      </c>
      <c r="H293" s="1" t="s">
        <v>2716</v>
      </c>
      <c r="I293" s="1"/>
      <c r="J293" s="1" t="s">
        <v>2716</v>
      </c>
      <c r="K293" s="1" t="s">
        <v>2716</v>
      </c>
      <c r="L293" s="1" t="s">
        <v>2716</v>
      </c>
      <c r="M293" s="1" t="s">
        <v>2716</v>
      </c>
      <c r="N293" s="1" t="s">
        <v>2716</v>
      </c>
      <c r="O293" s="1" t="s">
        <v>2716</v>
      </c>
      <c r="P293" s="9"/>
      <c r="R293" s="16">
        <f ca="1">IF(ISNUMBER(SEARCH(INDIRECT(CELL("address")),S293)),MAX($R$1:R292)+1,0)</f>
        <v>292</v>
      </c>
      <c r="S293" s="18" t="str">
        <f>Table1[[#This Row],[Portico_Specialty]]&amp;"-"&amp;Table1[[#This Row],[Code]]</f>
        <v>Internal Medicine-207R00000X</v>
      </c>
      <c r="U293" s="16" t="str">
        <f ca="1">IFERROR(VLOOKUP(ROWS($U$1:U292),$R$2:$S$918,2,FALSE),"")</f>
        <v>Internal Medicine-207R00000X</v>
      </c>
    </row>
    <row r="294" spans="1:21" x14ac:dyDescent="0.3">
      <c r="A294" s="21" t="s">
        <v>629</v>
      </c>
      <c r="B294" s="21" t="str">
        <f>Table1[[#This Row],[Code]]&amp;" "&amp;Table1[[#This Row],[Portico_Specialty]]</f>
        <v>207RA0401X Internal Medicine: Addiction Medicine</v>
      </c>
      <c r="C294" s="21" t="str">
        <f>CLEAN(Table1[[#This Row],[Code]])</f>
        <v>207RA0401X</v>
      </c>
      <c r="D294" s="1" t="s">
        <v>630</v>
      </c>
      <c r="E294" s="1"/>
      <c r="F294" s="4" t="s">
        <v>2619</v>
      </c>
      <c r="G294" s="4" t="s">
        <v>2593</v>
      </c>
      <c r="H294" s="1" t="s">
        <v>2605</v>
      </c>
      <c r="I294" s="1"/>
      <c r="J294" s="1" t="s">
        <v>2605</v>
      </c>
      <c r="K294" s="1" t="s">
        <v>2605</v>
      </c>
      <c r="L294" s="1" t="s">
        <v>2605</v>
      </c>
      <c r="M294" s="1" t="s">
        <v>2605</v>
      </c>
      <c r="N294" s="1" t="s">
        <v>2605</v>
      </c>
      <c r="O294" s="1" t="s">
        <v>2605</v>
      </c>
      <c r="P294" s="9"/>
      <c r="R294" s="16">
        <f ca="1">IF(ISNUMBER(SEARCH(INDIRECT(CELL("address")),S294)),MAX($R$1:R293)+1,0)</f>
        <v>293</v>
      </c>
      <c r="S294" s="18" t="str">
        <f>Table1[[#This Row],[Portico_Specialty]]&amp;"-"&amp;Table1[[#This Row],[Code]]</f>
        <v>Internal Medicine: Addiction Medicine-207RA0401X</v>
      </c>
      <c r="U294" s="16" t="str">
        <f ca="1">IFERROR(VLOOKUP(ROWS($U$1:U293),$R$2:$S$918,2,FALSE),"")</f>
        <v>Internal Medicine: Addiction Medicine-207RA0401X</v>
      </c>
    </row>
    <row r="295" spans="1:21" x14ac:dyDescent="0.3">
      <c r="A295" s="21" t="s">
        <v>621</v>
      </c>
      <c r="B295" s="21" t="str">
        <f>Table1[[#This Row],[Code]]&amp;" "&amp;Table1[[#This Row],[Portico_Specialty]]</f>
        <v>207RA0000X Internal Medicine: Adolescent Medicine</v>
      </c>
      <c r="C295" s="21" t="str">
        <f>CLEAN(Table1[[#This Row],[Code]])</f>
        <v>207RA0000X</v>
      </c>
      <c r="D295" s="1" t="s">
        <v>622</v>
      </c>
      <c r="E295" s="1"/>
      <c r="F295" s="1" t="s">
        <v>2587</v>
      </c>
      <c r="G295" s="4" t="s">
        <v>2593</v>
      </c>
      <c r="H295" s="1" t="s">
        <v>2707</v>
      </c>
      <c r="I295" s="1"/>
      <c r="J295" s="1" t="s">
        <v>2707</v>
      </c>
      <c r="K295" s="1" t="s">
        <v>2716</v>
      </c>
      <c r="L295" s="1" t="s">
        <v>2707</v>
      </c>
      <c r="M295" s="1" t="s">
        <v>2707</v>
      </c>
      <c r="N295" s="1" t="s">
        <v>2716</v>
      </c>
      <c r="O295" s="1" t="s">
        <v>2716</v>
      </c>
      <c r="P295" s="9"/>
      <c r="R295" s="16">
        <f ca="1">IF(ISNUMBER(SEARCH(INDIRECT(CELL("address")),S295)),MAX($R$1:R294)+1,0)</f>
        <v>294</v>
      </c>
      <c r="S295" s="18" t="str">
        <f>Table1[[#This Row],[Portico_Specialty]]&amp;"-"&amp;Table1[[#This Row],[Code]]</f>
        <v>Internal Medicine: Adolescent Medicine-207RA0000X</v>
      </c>
      <c r="U295" s="16" t="str">
        <f ca="1">IFERROR(VLOOKUP(ROWS($U$1:U294),$R$2:$S$918,2,FALSE),"")</f>
        <v>Internal Medicine: Adolescent Medicine-207RA0000X</v>
      </c>
    </row>
    <row r="296" spans="1:21" ht="30.75" x14ac:dyDescent="0.3">
      <c r="A296" s="21" t="s">
        <v>623</v>
      </c>
      <c r="B296" s="21" t="str">
        <f>Table1[[#This Row],[Code]]&amp;" "&amp;Table1[[#This Row],[Portico_Specialty]]</f>
        <v>207RA0001X Internal Medicine: Advanced Heart Failure and Transplant Cardiology</v>
      </c>
      <c r="C296" s="21" t="str">
        <f>CLEAN(Table1[[#This Row],[Code]])</f>
        <v>207RA0001X</v>
      </c>
      <c r="D296" s="1" t="s">
        <v>624</v>
      </c>
      <c r="E296" s="1"/>
      <c r="F296" s="1" t="s">
        <v>2587</v>
      </c>
      <c r="G296" s="4" t="s">
        <v>2593</v>
      </c>
      <c r="H296" s="1"/>
      <c r="I296" s="1"/>
      <c r="J296" s="1" t="s">
        <v>2716</v>
      </c>
      <c r="K296" s="1" t="s">
        <v>2716</v>
      </c>
      <c r="L296" s="1"/>
      <c r="M296" s="1"/>
      <c r="N296" s="1"/>
      <c r="O296" s="1" t="s">
        <v>2716</v>
      </c>
      <c r="P296" s="9"/>
      <c r="R296" s="16">
        <f ca="1">IF(ISNUMBER(SEARCH(INDIRECT(CELL("address")),S296)),MAX($R$1:R295)+1,0)</f>
        <v>295</v>
      </c>
      <c r="S296" s="18" t="str">
        <f>Table1[[#This Row],[Portico_Specialty]]&amp;"-"&amp;Table1[[#This Row],[Code]]</f>
        <v>Internal Medicine: Advanced Heart Failure and Transplant Cardiology-207RA0001X</v>
      </c>
      <c r="U296" s="16" t="str">
        <f ca="1">IFERROR(VLOOKUP(ROWS($U$1:U295),$R$2:$S$918,2,FALSE),"")</f>
        <v>Internal Medicine: Advanced Heart Failure and Transplant Cardiology-207RA0001X</v>
      </c>
    </row>
    <row r="297" spans="1:21" x14ac:dyDescent="0.3">
      <c r="A297" s="21" t="s">
        <v>627</v>
      </c>
      <c r="B297" s="21" t="str">
        <f>Table1[[#This Row],[Code]]&amp;" "&amp;Table1[[#This Row],[Portico_Specialty]]</f>
        <v>207RA0201X Internal Medicine: Allergy &amp; Immunology</v>
      </c>
      <c r="C297" s="21" t="str">
        <f>CLEAN(Table1[[#This Row],[Code]])</f>
        <v>207RA0201X</v>
      </c>
      <c r="D297" s="1" t="s">
        <v>628</v>
      </c>
      <c r="E297" s="1"/>
      <c r="F297" s="1" t="s">
        <v>2587</v>
      </c>
      <c r="G297" s="4" t="s">
        <v>2593</v>
      </c>
      <c r="H297" s="1" t="s">
        <v>2597</v>
      </c>
      <c r="I297" s="1"/>
      <c r="J297" s="1" t="s">
        <v>2597</v>
      </c>
      <c r="K297" s="1" t="s">
        <v>2597</v>
      </c>
      <c r="L297" s="1" t="s">
        <v>2597</v>
      </c>
      <c r="M297" s="1" t="s">
        <v>2597</v>
      </c>
      <c r="N297" s="1" t="s">
        <v>2597</v>
      </c>
      <c r="O297" s="1" t="s">
        <v>2597</v>
      </c>
      <c r="P297" s="9"/>
      <c r="R297" s="16">
        <f ca="1">IF(ISNUMBER(SEARCH(INDIRECT(CELL("address")),S297)),MAX($R$1:R296)+1,0)</f>
        <v>296</v>
      </c>
      <c r="S297" s="18" t="str">
        <f>Table1[[#This Row],[Portico_Specialty]]&amp;"-"&amp;Table1[[#This Row],[Code]]</f>
        <v>Internal Medicine: Allergy &amp; Immunology-207RA0201X</v>
      </c>
      <c r="U297" s="16" t="str">
        <f ca="1">IFERROR(VLOOKUP(ROWS($U$1:U296),$R$2:$S$918,2,FALSE),"")</f>
        <v>Internal Medicine: Allergy &amp; Immunology-207RA0201X</v>
      </c>
    </row>
    <row r="298" spans="1:21" x14ac:dyDescent="0.3">
      <c r="A298" s="21" t="s">
        <v>633</v>
      </c>
      <c r="B298" s="21" t="str">
        <f>Table1[[#This Row],[Code]]&amp;" "&amp;Table1[[#This Row],[Portico_Specialty]]</f>
        <v>207RC0000X Internal Medicine: Cardiovascular Disease</v>
      </c>
      <c r="C298" s="21" t="str">
        <f>CLEAN(Table1[[#This Row],[Code]])</f>
        <v>207RC0000X</v>
      </c>
      <c r="D298" s="1" t="s">
        <v>634</v>
      </c>
      <c r="E298" s="1"/>
      <c r="F298" s="1" t="s">
        <v>2587</v>
      </c>
      <c r="G298" s="4" t="s">
        <v>2593</v>
      </c>
      <c r="H298" s="1" t="s">
        <v>2720</v>
      </c>
      <c r="I298" s="1"/>
      <c r="J298" s="1" t="s">
        <v>2720</v>
      </c>
      <c r="K298" s="1" t="s">
        <v>2720</v>
      </c>
      <c r="L298" s="1" t="s">
        <v>2720</v>
      </c>
      <c r="M298" s="1" t="s">
        <v>2720</v>
      </c>
      <c r="N298" s="1" t="s">
        <v>2720</v>
      </c>
      <c r="O298" s="1" t="s">
        <v>2720</v>
      </c>
      <c r="P298" s="9"/>
      <c r="R298" s="16">
        <f ca="1">IF(ISNUMBER(SEARCH(INDIRECT(CELL("address")),S298)),MAX($R$1:R297)+1,0)</f>
        <v>297</v>
      </c>
      <c r="S298" s="18" t="str">
        <f>Table1[[#This Row],[Portico_Specialty]]&amp;"-"&amp;Table1[[#This Row],[Code]]</f>
        <v>Internal Medicine: Cardiovascular Disease-207RC0000X</v>
      </c>
      <c r="U298" s="16" t="str">
        <f ca="1">IFERROR(VLOOKUP(ROWS($U$1:U297),$R$2:$S$918,2,FALSE),"")</f>
        <v>Internal Medicine: Cardiovascular Disease-207RC0000X</v>
      </c>
    </row>
    <row r="299" spans="1:21" ht="30.75" x14ac:dyDescent="0.3">
      <c r="A299" s="21" t="s">
        <v>653</v>
      </c>
      <c r="B299" s="21" t="str">
        <f>Table1[[#This Row],[Code]]&amp;" "&amp;Table1[[#This Row],[Portico_Specialty]]</f>
        <v>207RI0001X Internal Medicine: Clinical &amp; Laboratory Immunology</v>
      </c>
      <c r="C299" s="21" t="str">
        <f>CLEAN(Table1[[#This Row],[Code]])</f>
        <v>207RI0001X</v>
      </c>
      <c r="D299" s="1" t="s">
        <v>654</v>
      </c>
      <c r="E299" s="1"/>
      <c r="F299" s="1" t="s">
        <v>2587</v>
      </c>
      <c r="G299" s="4" t="s">
        <v>2593</v>
      </c>
      <c r="H299" s="1" t="s">
        <v>2597</v>
      </c>
      <c r="I299" s="1"/>
      <c r="J299" s="1" t="s">
        <v>2597</v>
      </c>
      <c r="K299" s="1" t="s">
        <v>2716</v>
      </c>
      <c r="L299" s="1" t="s">
        <v>2597</v>
      </c>
      <c r="M299" s="1" t="s">
        <v>2597</v>
      </c>
      <c r="N299" s="1" t="s">
        <v>2597</v>
      </c>
      <c r="O299" s="1" t="s">
        <v>2716</v>
      </c>
      <c r="P299" s="9"/>
      <c r="R299" s="16">
        <f ca="1">IF(ISNUMBER(SEARCH(INDIRECT(CELL("address")),S299)),MAX($R$1:R298)+1,0)</f>
        <v>298</v>
      </c>
      <c r="S299" s="18" t="str">
        <f>Table1[[#This Row],[Portico_Specialty]]&amp;"-"&amp;Table1[[#This Row],[Code]]</f>
        <v>Internal Medicine: Clinical &amp; Laboratory Immunology-207RI0001X</v>
      </c>
      <c r="U299" s="16" t="str">
        <f ca="1">IFERROR(VLOOKUP(ROWS($U$1:U298),$R$2:$S$918,2,FALSE),"")</f>
        <v>Internal Medicine: Clinical &amp; Laboratory Immunology-207RI0001X</v>
      </c>
    </row>
    <row r="300" spans="1:21" ht="30.75" x14ac:dyDescent="0.3">
      <c r="A300" s="21" t="s">
        <v>635</v>
      </c>
      <c r="B300" s="21" t="str">
        <f>Table1[[#This Row],[Code]]&amp;" "&amp;Table1[[#This Row],[Portico_Specialty]]</f>
        <v>207RC0001X Internal Medicine: Clinical Cardiac Electrophysiology</v>
      </c>
      <c r="C300" s="21" t="str">
        <f>CLEAN(Table1[[#This Row],[Code]])</f>
        <v>207RC0001X</v>
      </c>
      <c r="D300" s="1" t="s">
        <v>636</v>
      </c>
      <c r="E300" s="1"/>
      <c r="F300" s="1" t="s">
        <v>2587</v>
      </c>
      <c r="G300" s="4" t="s">
        <v>2593</v>
      </c>
      <c r="H300" s="1" t="s">
        <v>2720</v>
      </c>
      <c r="I300" s="1"/>
      <c r="J300" s="1" t="s">
        <v>2720</v>
      </c>
      <c r="K300" s="1" t="s">
        <v>2716</v>
      </c>
      <c r="L300" s="1" t="s">
        <v>2720</v>
      </c>
      <c r="M300" s="1" t="s">
        <v>2720</v>
      </c>
      <c r="N300" s="1" t="s">
        <v>2722</v>
      </c>
      <c r="O300" s="1" t="s">
        <v>2716</v>
      </c>
      <c r="P300" s="9"/>
      <c r="R300" s="16">
        <f ca="1">IF(ISNUMBER(SEARCH(INDIRECT(CELL("address")),S300)),MAX($R$1:R299)+1,0)</f>
        <v>299</v>
      </c>
      <c r="S300" s="18" t="str">
        <f>Table1[[#This Row],[Portico_Specialty]]&amp;"-"&amp;Table1[[#This Row],[Code]]</f>
        <v>Internal Medicine: Clinical Cardiac Electrophysiology-207RC0001X</v>
      </c>
      <c r="U300" s="16" t="str">
        <f ca="1">IFERROR(VLOOKUP(ROWS($U$1:U299),$R$2:$S$918,2,FALSE),"")</f>
        <v>Internal Medicine: Clinical Cardiac Electrophysiology-207RC0001X</v>
      </c>
    </row>
    <row r="301" spans="1:21" x14ac:dyDescent="0.3">
      <c r="A301" s="21" t="s">
        <v>637</v>
      </c>
      <c r="B301" s="21" t="str">
        <f>Table1[[#This Row],[Code]]&amp;" "&amp;Table1[[#This Row],[Portico_Specialty]]</f>
        <v>207RC0200X Internal Medicine: Critical Care Medicine</v>
      </c>
      <c r="C301" s="21" t="str">
        <f>CLEAN(Table1[[#This Row],[Code]])</f>
        <v>207RC0200X</v>
      </c>
      <c r="D301" s="1" t="s">
        <v>638</v>
      </c>
      <c r="E301" s="1"/>
      <c r="F301" s="1" t="s">
        <v>2587</v>
      </c>
      <c r="G301" s="4" t="s">
        <v>2593</v>
      </c>
      <c r="H301" s="1" t="s">
        <v>2719</v>
      </c>
      <c r="I301" s="1"/>
      <c r="J301" s="1" t="s">
        <v>2719</v>
      </c>
      <c r="K301" s="1" t="s">
        <v>2716</v>
      </c>
      <c r="L301" s="1" t="s">
        <v>2719</v>
      </c>
      <c r="M301" s="1" t="s">
        <v>2719</v>
      </c>
      <c r="N301" s="1" t="s">
        <v>2719</v>
      </c>
      <c r="O301" s="1" t="s">
        <v>2716</v>
      </c>
      <c r="P301" s="9"/>
      <c r="R301" s="16">
        <f ca="1">IF(ISNUMBER(SEARCH(INDIRECT(CELL("address")),S301)),MAX($R$1:R300)+1,0)</f>
        <v>300</v>
      </c>
      <c r="S301" s="18" t="str">
        <f>Table1[[#This Row],[Portico_Specialty]]&amp;"-"&amp;Table1[[#This Row],[Code]]</f>
        <v>Internal Medicine: Critical Care Medicine-207RC0200X</v>
      </c>
      <c r="U301" s="16" t="str">
        <f ca="1">IFERROR(VLOOKUP(ROWS($U$1:U300),$R$2:$S$918,2,FALSE),"")</f>
        <v>Internal Medicine: Critical Care Medicine-207RC0200X</v>
      </c>
    </row>
    <row r="302" spans="1:21" ht="30.75" x14ac:dyDescent="0.3">
      <c r="A302" s="21" t="s">
        <v>639</v>
      </c>
      <c r="B302" s="21" t="str">
        <f>Table1[[#This Row],[Code]]&amp;" "&amp;Table1[[#This Row],[Portico_Specialty]]</f>
        <v>207RE0101X Internal Medicine: Endocrinology, Diabetes &amp; Metabolism</v>
      </c>
      <c r="C302" s="21" t="str">
        <f>CLEAN(Table1[[#This Row],[Code]])</f>
        <v>207RE0101X</v>
      </c>
      <c r="D302" s="1" t="s">
        <v>640</v>
      </c>
      <c r="E302" s="1"/>
      <c r="F302" s="1" t="s">
        <v>2587</v>
      </c>
      <c r="G302" s="4" t="s">
        <v>2593</v>
      </c>
      <c r="H302" s="1" t="s">
        <v>2723</v>
      </c>
      <c r="I302" s="1"/>
      <c r="J302" s="1" t="s">
        <v>2723</v>
      </c>
      <c r="K302" s="1" t="s">
        <v>2723</v>
      </c>
      <c r="L302" s="1" t="s">
        <v>2723</v>
      </c>
      <c r="M302" s="1" t="s">
        <v>2723</v>
      </c>
      <c r="N302" s="1" t="s">
        <v>2723</v>
      </c>
      <c r="O302" s="1" t="s">
        <v>2723</v>
      </c>
      <c r="P302" s="9"/>
      <c r="R302" s="16">
        <f ca="1">IF(ISNUMBER(SEARCH(INDIRECT(CELL("address")),S302)),MAX($R$1:R301)+1,0)</f>
        <v>301</v>
      </c>
      <c r="S302" s="18" t="str">
        <f>Table1[[#This Row],[Portico_Specialty]]&amp;"-"&amp;Table1[[#This Row],[Code]]</f>
        <v>Internal Medicine: Endocrinology, Diabetes &amp; Metabolism-207RE0101X</v>
      </c>
      <c r="U302" s="16" t="str">
        <f ca="1">IFERROR(VLOOKUP(ROWS($U$1:U301),$R$2:$S$918,2,FALSE),"")</f>
        <v>Internal Medicine: Endocrinology, Diabetes &amp; Metabolism-207RE0101X</v>
      </c>
    </row>
    <row r="303" spans="1:21" x14ac:dyDescent="0.3">
      <c r="A303" s="21" t="s">
        <v>641</v>
      </c>
      <c r="B303" s="21" t="str">
        <f>Table1[[#This Row],[Code]]&amp;" "&amp;Table1[[#This Row],[Portico_Specialty]]</f>
        <v>207RG0100X Internal Medicine: Gastroenterology</v>
      </c>
      <c r="C303" s="21" t="str">
        <f>CLEAN(Table1[[#This Row],[Code]])</f>
        <v>207RG0100X</v>
      </c>
      <c r="D303" s="1" t="s">
        <v>642</v>
      </c>
      <c r="E303" s="1"/>
      <c r="F303" s="1" t="s">
        <v>2587</v>
      </c>
      <c r="G303" s="4" t="s">
        <v>2593</v>
      </c>
      <c r="H303" s="1" t="s">
        <v>2724</v>
      </c>
      <c r="I303" s="1"/>
      <c r="J303" s="1" t="s">
        <v>2724</v>
      </c>
      <c r="K303" s="1" t="s">
        <v>2724</v>
      </c>
      <c r="L303" s="1" t="s">
        <v>2724</v>
      </c>
      <c r="M303" s="1" t="s">
        <v>2724</v>
      </c>
      <c r="N303" s="1" t="s">
        <v>2724</v>
      </c>
      <c r="O303" s="1" t="s">
        <v>2724</v>
      </c>
      <c r="P303" s="9"/>
      <c r="R303" s="16">
        <f ca="1">IF(ISNUMBER(SEARCH(INDIRECT(CELL("address")),S303)),MAX($R$1:R302)+1,0)</f>
        <v>302</v>
      </c>
      <c r="S303" s="18" t="str">
        <f>Table1[[#This Row],[Portico_Specialty]]&amp;"-"&amp;Table1[[#This Row],[Code]]</f>
        <v>Internal Medicine: Gastroenterology-207RG0100X</v>
      </c>
      <c r="U303" s="16" t="str">
        <f ca="1">IFERROR(VLOOKUP(ROWS($U$1:U302),$R$2:$S$918,2,FALSE),"")</f>
        <v>Internal Medicine: Gastroenterology-207RG0100X</v>
      </c>
    </row>
    <row r="304" spans="1:21" x14ac:dyDescent="0.3">
      <c r="A304" s="21" t="s">
        <v>643</v>
      </c>
      <c r="B304" s="21" t="str">
        <f>Table1[[#This Row],[Code]]&amp;" "&amp;Table1[[#This Row],[Portico_Specialty]]</f>
        <v>207RG0300X Internal Medicine: Geriatric Medicine</v>
      </c>
      <c r="C304" s="21" t="str">
        <f>CLEAN(Table1[[#This Row],[Code]])</f>
        <v>207RG0300X</v>
      </c>
      <c r="D304" s="1" t="s">
        <v>644</v>
      </c>
      <c r="E304" s="1"/>
      <c r="F304" s="1" t="s">
        <v>2587</v>
      </c>
      <c r="G304" s="4" t="s">
        <v>2593</v>
      </c>
      <c r="H304" s="1" t="s">
        <v>2670</v>
      </c>
      <c r="I304" s="1"/>
      <c r="J304" s="1" t="s">
        <v>2670</v>
      </c>
      <c r="K304" s="1" t="s">
        <v>2670</v>
      </c>
      <c r="L304" s="1" t="s">
        <v>2670</v>
      </c>
      <c r="M304" s="1" t="s">
        <v>2670</v>
      </c>
      <c r="N304" s="1" t="s">
        <v>2670</v>
      </c>
      <c r="O304" s="1" t="s">
        <v>2670</v>
      </c>
      <c r="P304" s="9"/>
      <c r="R304" s="16">
        <f ca="1">IF(ISNUMBER(SEARCH(INDIRECT(CELL("address")),S304)),MAX($R$1:R303)+1,0)</f>
        <v>303</v>
      </c>
      <c r="S304" s="18" t="str">
        <f>Table1[[#This Row],[Portico_Specialty]]&amp;"-"&amp;Table1[[#This Row],[Code]]</f>
        <v>Internal Medicine: Geriatric Medicine-207RG0300X</v>
      </c>
      <c r="U304" s="16" t="str">
        <f ca="1">IFERROR(VLOOKUP(ROWS($U$1:U303),$R$2:$S$918,2,FALSE),"")</f>
        <v>Internal Medicine: Geriatric Medicine-207RG0300X</v>
      </c>
    </row>
    <row r="305" spans="1:21" x14ac:dyDescent="0.3">
      <c r="A305" s="21" t="s">
        <v>645</v>
      </c>
      <c r="B305" s="21" t="str">
        <f>Table1[[#This Row],[Code]]&amp;" "&amp;Table1[[#This Row],[Portico_Specialty]]</f>
        <v>207RH0000X Internal Medicine: Hematology</v>
      </c>
      <c r="C305" s="21" t="str">
        <f>CLEAN(Table1[[#This Row],[Code]])</f>
        <v>207RH0000X</v>
      </c>
      <c r="D305" s="1" t="s">
        <v>646</v>
      </c>
      <c r="E305" s="1"/>
      <c r="F305" s="1" t="s">
        <v>2587</v>
      </c>
      <c r="G305" s="4" t="s">
        <v>2593</v>
      </c>
      <c r="H305" s="1" t="s">
        <v>2725</v>
      </c>
      <c r="I305" s="1"/>
      <c r="J305" s="1" t="s">
        <v>2725</v>
      </c>
      <c r="K305" s="1" t="s">
        <v>2725</v>
      </c>
      <c r="L305" s="1" t="s">
        <v>2725</v>
      </c>
      <c r="M305" s="1" t="s">
        <v>2725</v>
      </c>
      <c r="N305" s="1" t="s">
        <v>2725</v>
      </c>
      <c r="O305" s="1" t="s">
        <v>2725</v>
      </c>
      <c r="P305" s="9"/>
      <c r="R305" s="16">
        <f ca="1">IF(ISNUMBER(SEARCH(INDIRECT(CELL("address")),S305)),MAX($R$1:R304)+1,0)</f>
        <v>304</v>
      </c>
      <c r="S305" s="18" t="str">
        <f>Table1[[#This Row],[Portico_Specialty]]&amp;"-"&amp;Table1[[#This Row],[Code]]</f>
        <v>Internal Medicine: Hematology-207RH0000X</v>
      </c>
      <c r="U305" s="16" t="str">
        <f ca="1">IFERROR(VLOOKUP(ROWS($U$1:U304),$R$2:$S$918,2,FALSE),"")</f>
        <v>Internal Medicine: Hematology-207RH0000X</v>
      </c>
    </row>
    <row r="306" spans="1:21" x14ac:dyDescent="0.3">
      <c r="A306" s="21" t="s">
        <v>649</v>
      </c>
      <c r="B306" s="21" t="str">
        <f>Table1[[#This Row],[Code]]&amp;" "&amp;Table1[[#This Row],[Portico_Specialty]]</f>
        <v>207RH0003X Internal Medicine: Hematology &amp; Oncology</v>
      </c>
      <c r="C306" s="21" t="str">
        <f>CLEAN(Table1[[#This Row],[Code]])</f>
        <v>207RH0003X</v>
      </c>
      <c r="D306" s="1" t="s">
        <v>650</v>
      </c>
      <c r="E306" s="1"/>
      <c r="F306" s="1" t="s">
        <v>2587</v>
      </c>
      <c r="G306" s="4" t="s">
        <v>2593</v>
      </c>
      <c r="H306" s="1" t="s">
        <v>2726</v>
      </c>
      <c r="I306" s="1"/>
      <c r="J306" s="1" t="s">
        <v>2726</v>
      </c>
      <c r="K306" s="1" t="s">
        <v>2726</v>
      </c>
      <c r="L306" s="1" t="s">
        <v>2726</v>
      </c>
      <c r="M306" s="1" t="s">
        <v>2726</v>
      </c>
      <c r="N306" s="1" t="s">
        <v>2726</v>
      </c>
      <c r="O306" s="1" t="s">
        <v>2726</v>
      </c>
      <c r="P306" s="9"/>
      <c r="R306" s="16">
        <f ca="1">IF(ISNUMBER(SEARCH(INDIRECT(CELL("address")),S306)),MAX($R$1:R305)+1,0)</f>
        <v>305</v>
      </c>
      <c r="S306" s="18" t="str">
        <f>Table1[[#This Row],[Portico_Specialty]]&amp;"-"&amp;Table1[[#This Row],[Code]]</f>
        <v>Internal Medicine: Hematology &amp; Oncology-207RH0003X</v>
      </c>
      <c r="U306" s="16" t="str">
        <f ca="1">IFERROR(VLOOKUP(ROWS($U$1:U305),$R$2:$S$918,2,FALSE),"")</f>
        <v>Internal Medicine: Hematology &amp; Oncology-207RH0003X</v>
      </c>
    </row>
    <row r="307" spans="1:21" x14ac:dyDescent="0.3">
      <c r="A307" s="21" t="s">
        <v>655</v>
      </c>
      <c r="B307" s="21" t="str">
        <f>Table1[[#This Row],[Code]]&amp;" "&amp;Table1[[#This Row],[Portico_Specialty]]</f>
        <v>207RI0008X Internal Medicine: Hepatology</v>
      </c>
      <c r="C307" s="21" t="str">
        <f>CLEAN(Table1[[#This Row],[Code]])</f>
        <v>207RI0008X</v>
      </c>
      <c r="D307" s="1" t="s">
        <v>656</v>
      </c>
      <c r="E307" s="1"/>
      <c r="F307" s="1" t="s">
        <v>2587</v>
      </c>
      <c r="G307" s="4" t="s">
        <v>2593</v>
      </c>
      <c r="H307" s="1" t="s">
        <v>2724</v>
      </c>
      <c r="I307" s="1"/>
      <c r="J307" s="1" t="s">
        <v>2724</v>
      </c>
      <c r="K307" s="1" t="s">
        <v>2716</v>
      </c>
      <c r="L307" s="1" t="s">
        <v>2724</v>
      </c>
      <c r="M307" s="1" t="s">
        <v>2724</v>
      </c>
      <c r="N307" s="1" t="s">
        <v>2724</v>
      </c>
      <c r="O307" s="1" t="s">
        <v>2716</v>
      </c>
      <c r="P307" s="9"/>
      <c r="R307" s="16">
        <f ca="1">IF(ISNUMBER(SEARCH(INDIRECT(CELL("address")),S307)),MAX($R$1:R306)+1,0)</f>
        <v>306</v>
      </c>
      <c r="S307" s="18" t="str">
        <f>Table1[[#This Row],[Portico_Specialty]]&amp;"-"&amp;Table1[[#This Row],[Code]]</f>
        <v>Internal Medicine: Hepatology-207RI0008X</v>
      </c>
      <c r="U307" s="16" t="str">
        <f ca="1">IFERROR(VLOOKUP(ROWS($U$1:U306),$R$2:$S$918,2,FALSE),"")</f>
        <v>Internal Medicine: Hepatology-207RI0008X</v>
      </c>
    </row>
    <row r="308" spans="1:21" x14ac:dyDescent="0.3">
      <c r="A308" s="21" t="s">
        <v>659</v>
      </c>
      <c r="B308" s="21" t="str">
        <f>Table1[[#This Row],[Code]]&amp;" "&amp;Table1[[#This Row],[Portico_Specialty]]</f>
        <v>207RI0200X Internal Medicine: Infectious Disease</v>
      </c>
      <c r="C308" s="21" t="str">
        <f>CLEAN(Table1[[#This Row],[Code]])</f>
        <v>207RI0200X</v>
      </c>
      <c r="D308" s="1" t="s">
        <v>660</v>
      </c>
      <c r="E308" s="1"/>
      <c r="F308" s="1" t="s">
        <v>2587</v>
      </c>
      <c r="G308" s="4" t="s">
        <v>2593</v>
      </c>
      <c r="H308" s="1" t="s">
        <v>2727</v>
      </c>
      <c r="I308" s="1"/>
      <c r="J308" s="1" t="s">
        <v>2727</v>
      </c>
      <c r="K308" s="1" t="s">
        <v>2727</v>
      </c>
      <c r="L308" s="1" t="s">
        <v>2727</v>
      </c>
      <c r="M308" s="1" t="s">
        <v>2727</v>
      </c>
      <c r="N308" s="1" t="s">
        <v>2727</v>
      </c>
      <c r="O308" s="1" t="s">
        <v>2727</v>
      </c>
      <c r="P308" s="9"/>
      <c r="R308" s="16">
        <f ca="1">IF(ISNUMBER(SEARCH(INDIRECT(CELL("address")),S308)),MAX($R$1:R307)+1,0)</f>
        <v>307</v>
      </c>
      <c r="S308" s="18" t="str">
        <f>Table1[[#This Row],[Portico_Specialty]]&amp;"-"&amp;Table1[[#This Row],[Code]]</f>
        <v>Internal Medicine: Infectious Disease-207RI0200X</v>
      </c>
      <c r="U308" s="16" t="str">
        <f ca="1">IFERROR(VLOOKUP(ROWS($U$1:U307),$R$2:$S$918,2,FALSE),"")</f>
        <v>Internal Medicine: Infectious Disease-207RI0200X</v>
      </c>
    </row>
    <row r="309" spans="1:21" x14ac:dyDescent="0.3">
      <c r="A309" s="21" t="s">
        <v>657</v>
      </c>
      <c r="B309" s="21" t="str">
        <f>Table1[[#This Row],[Code]]&amp;" "&amp;Table1[[#This Row],[Portico_Specialty]]</f>
        <v>207RI0011X Internal Medicine: Interventional Cardiology</v>
      </c>
      <c r="C309" s="21" t="str">
        <f>CLEAN(Table1[[#This Row],[Code]])</f>
        <v>207RI0011X</v>
      </c>
      <c r="D309" s="1" t="s">
        <v>658</v>
      </c>
      <c r="E309" s="1"/>
      <c r="F309" s="1" t="s">
        <v>2587</v>
      </c>
      <c r="G309" s="4" t="s">
        <v>2593</v>
      </c>
      <c r="H309" s="1" t="s">
        <v>2720</v>
      </c>
      <c r="I309" s="1"/>
      <c r="J309" s="1" t="s">
        <v>2720</v>
      </c>
      <c r="K309" s="1" t="s">
        <v>2720</v>
      </c>
      <c r="L309" s="1" t="s">
        <v>2720</v>
      </c>
      <c r="M309" s="1" t="s">
        <v>2720</v>
      </c>
      <c r="N309" s="1" t="s">
        <v>2720</v>
      </c>
      <c r="O309" s="1" t="s">
        <v>2720</v>
      </c>
      <c r="P309" s="9"/>
      <c r="R309" s="16">
        <f ca="1">IF(ISNUMBER(SEARCH(INDIRECT(CELL("address")),S309)),MAX($R$1:R308)+1,0)</f>
        <v>308</v>
      </c>
      <c r="S309" s="18" t="str">
        <f>Table1[[#This Row],[Portico_Specialty]]&amp;"-"&amp;Table1[[#This Row],[Code]]</f>
        <v>Internal Medicine: Interventional Cardiology-207RI0011X</v>
      </c>
      <c r="U309" s="16" t="str">
        <f ca="1">IFERROR(VLOOKUP(ROWS($U$1:U308),$R$2:$S$918,2,FALSE),"")</f>
        <v>Internal Medicine: Interventional Cardiology-207RI0011X</v>
      </c>
    </row>
    <row r="310" spans="1:21" ht="30.75" x14ac:dyDescent="0.3">
      <c r="A310" s="21" t="s">
        <v>661</v>
      </c>
      <c r="B310" s="21" t="str">
        <f>Table1[[#This Row],[Code]]&amp;" "&amp;Table1[[#This Row],[Portico_Specialty]]</f>
        <v>207RM1200X Internal Medicine: Magnetic Resonance Imaging (MRI)</v>
      </c>
      <c r="C310" s="21" t="str">
        <f>CLEAN(Table1[[#This Row],[Code]])</f>
        <v>207RM1200X</v>
      </c>
      <c r="D310" s="1" t="s">
        <v>662</v>
      </c>
      <c r="E310" s="1"/>
      <c r="F310" s="1" t="s">
        <v>2587</v>
      </c>
      <c r="G310" s="4" t="s">
        <v>2593</v>
      </c>
      <c r="H310" s="1" t="s">
        <v>2653</v>
      </c>
      <c r="I310" s="1"/>
      <c r="J310" s="1" t="s">
        <v>2653</v>
      </c>
      <c r="K310" s="1" t="s">
        <v>2716</v>
      </c>
      <c r="L310" s="1" t="s">
        <v>2653</v>
      </c>
      <c r="M310" s="1" t="s">
        <v>2653</v>
      </c>
      <c r="N310" s="1" t="s">
        <v>2653</v>
      </c>
      <c r="O310" s="1" t="s">
        <v>2716</v>
      </c>
      <c r="P310" s="9"/>
      <c r="R310" s="16">
        <f ca="1">IF(ISNUMBER(SEARCH(INDIRECT(CELL("address")),S310)),MAX($R$1:R309)+1,0)</f>
        <v>309</v>
      </c>
      <c r="S310" s="18" t="str">
        <f>Table1[[#This Row],[Portico_Specialty]]&amp;"-"&amp;Table1[[#This Row],[Code]]</f>
        <v>Internal Medicine: Magnetic Resonance Imaging (MRI)-207RM1200X</v>
      </c>
      <c r="U310" s="16" t="str">
        <f ca="1">IFERROR(VLOOKUP(ROWS($U$1:U309),$R$2:$S$918,2,FALSE),"")</f>
        <v>Internal Medicine: Magnetic Resonance Imaging (MRI)-207RM1200X</v>
      </c>
    </row>
    <row r="311" spans="1:21" x14ac:dyDescent="0.3">
      <c r="A311" s="21" t="s">
        <v>675</v>
      </c>
      <c r="B311" s="21" t="str">
        <f>Table1[[#This Row],[Code]]&amp;" "&amp;Table1[[#This Row],[Portico_Specialty]]</f>
        <v>207RX0202X Internal Medicine: Medical Oncology</v>
      </c>
      <c r="C311" s="21" t="str">
        <f>CLEAN(Table1[[#This Row],[Code]])</f>
        <v>207RX0202X</v>
      </c>
      <c r="D311" s="1" t="s">
        <v>676</v>
      </c>
      <c r="E311" s="1"/>
      <c r="F311" s="1" t="s">
        <v>2587</v>
      </c>
      <c r="G311" s="4" t="s">
        <v>2593</v>
      </c>
      <c r="H311" s="1" t="s">
        <v>2728</v>
      </c>
      <c r="I311" s="1"/>
      <c r="J311" s="1" t="s">
        <v>2728</v>
      </c>
      <c r="K311" s="1" t="s">
        <v>2728</v>
      </c>
      <c r="L311" s="1" t="s">
        <v>2728</v>
      </c>
      <c r="M311" s="1" t="s">
        <v>2728</v>
      </c>
      <c r="N311" s="1" t="s">
        <v>2728</v>
      </c>
      <c r="O311" s="1" t="s">
        <v>2728</v>
      </c>
      <c r="P311" s="9"/>
      <c r="R311" s="16">
        <f ca="1">IF(ISNUMBER(SEARCH(INDIRECT(CELL("address")),S311)),MAX($R$1:R310)+1,0)</f>
        <v>310</v>
      </c>
      <c r="S311" s="18" t="str">
        <f>Table1[[#This Row],[Portico_Specialty]]&amp;"-"&amp;Table1[[#This Row],[Code]]</f>
        <v>Internal Medicine: Medical Oncology-207RX0202X</v>
      </c>
      <c r="U311" s="16" t="str">
        <f ca="1">IFERROR(VLOOKUP(ROWS($U$1:U310),$R$2:$S$918,2,FALSE),"")</f>
        <v>Internal Medicine: Medical Oncology-207RX0202X</v>
      </c>
    </row>
    <row r="312" spans="1:21" x14ac:dyDescent="0.3">
      <c r="A312" s="21" t="s">
        <v>663</v>
      </c>
      <c r="B312" s="21" t="str">
        <f>Table1[[#This Row],[Code]]&amp;" "&amp;Table1[[#This Row],[Portico_Specialty]]</f>
        <v>207RN0300X Internal Medicine: Nephrology</v>
      </c>
      <c r="C312" s="21" t="str">
        <f>CLEAN(Table1[[#This Row],[Code]])</f>
        <v>207RN0300X</v>
      </c>
      <c r="D312" s="1" t="s">
        <v>664</v>
      </c>
      <c r="E312" s="1"/>
      <c r="F312" s="1" t="s">
        <v>2587</v>
      </c>
      <c r="G312" s="4" t="s">
        <v>2593</v>
      </c>
      <c r="H312" s="1" t="s">
        <v>2729</v>
      </c>
      <c r="I312" s="1"/>
      <c r="J312" s="1" t="s">
        <v>2729</v>
      </c>
      <c r="K312" s="1" t="s">
        <v>2729</v>
      </c>
      <c r="L312" s="1" t="s">
        <v>2729</v>
      </c>
      <c r="M312" s="1" t="s">
        <v>2729</v>
      </c>
      <c r="N312" s="1" t="s">
        <v>2729</v>
      </c>
      <c r="O312" s="1" t="s">
        <v>2729</v>
      </c>
      <c r="P312" s="9"/>
      <c r="R312" s="16">
        <f ca="1">IF(ISNUMBER(SEARCH(INDIRECT(CELL("address")),S312)),MAX($R$1:R311)+1,0)</f>
        <v>311</v>
      </c>
      <c r="S312" s="18" t="str">
        <f>Table1[[#This Row],[Portico_Specialty]]&amp;"-"&amp;Table1[[#This Row],[Code]]</f>
        <v>Internal Medicine: Nephrology-207RN0300X</v>
      </c>
      <c r="U312" s="16" t="str">
        <f ca="1">IFERROR(VLOOKUP(ROWS($U$1:U311),$R$2:$S$918,2,FALSE),"")</f>
        <v>Internal Medicine: Nephrology-207RN0300X</v>
      </c>
    </row>
    <row r="313" spans="1:21" x14ac:dyDescent="0.3">
      <c r="A313" s="21" t="s">
        <v>631</v>
      </c>
      <c r="B313" s="21" t="str">
        <f>Table1[[#This Row],[Code]]&amp;" "&amp;Table1[[#This Row],[Portico_Specialty]]</f>
        <v>207RB0002X Internal Medicine: Obesity Medicine</v>
      </c>
      <c r="C313" s="21" t="str">
        <f>CLEAN(Table1[[#This Row],[Code]])</f>
        <v>207RB0002X</v>
      </c>
      <c r="D313" s="1" t="s">
        <v>632</v>
      </c>
      <c r="E313" s="1"/>
      <c r="F313" s="1" t="s">
        <v>2587</v>
      </c>
      <c r="G313" s="4" t="s">
        <v>2593</v>
      </c>
      <c r="H313" s="1" t="s">
        <v>2716</v>
      </c>
      <c r="I313" s="1"/>
      <c r="J313" s="1" t="s">
        <v>2716</v>
      </c>
      <c r="K313" s="1" t="s">
        <v>2716</v>
      </c>
      <c r="L313" s="1" t="s">
        <v>2716</v>
      </c>
      <c r="M313" s="1" t="s">
        <v>2716</v>
      </c>
      <c r="N313" s="1" t="s">
        <v>2716</v>
      </c>
      <c r="O313" s="1" t="s">
        <v>2716</v>
      </c>
      <c r="P313" s="9"/>
      <c r="R313" s="16">
        <f ca="1">IF(ISNUMBER(SEARCH(INDIRECT(CELL("address")),S313)),MAX($R$1:R312)+1,0)</f>
        <v>312</v>
      </c>
      <c r="S313" s="18" t="str">
        <f>Table1[[#This Row],[Portico_Specialty]]&amp;"-"&amp;Table1[[#This Row],[Code]]</f>
        <v>Internal Medicine: Obesity Medicine-207RB0002X</v>
      </c>
      <c r="U313" s="16" t="str">
        <f ca="1">IFERROR(VLOOKUP(ROWS($U$1:U312),$R$2:$S$918,2,FALSE),"")</f>
        <v>Internal Medicine: Obesity Medicine-207RB0002X</v>
      </c>
    </row>
    <row r="314" spans="1:21" x14ac:dyDescent="0.3">
      <c r="A314" s="21" t="s">
        <v>665</v>
      </c>
      <c r="B314" s="21" t="str">
        <f>Table1[[#This Row],[Code]]&amp;" "&amp;Table1[[#This Row],[Portico_Specialty]]</f>
        <v>207RP1001X Internal Medicine: Pulmonary Disease</v>
      </c>
      <c r="C314" s="21" t="str">
        <f>CLEAN(Table1[[#This Row],[Code]])</f>
        <v>207RP1001X</v>
      </c>
      <c r="D314" s="1" t="s">
        <v>666</v>
      </c>
      <c r="E314" s="1"/>
      <c r="F314" s="1" t="s">
        <v>2587</v>
      </c>
      <c r="G314" s="4" t="s">
        <v>2593</v>
      </c>
      <c r="H314" s="1" t="s">
        <v>2730</v>
      </c>
      <c r="I314" s="1"/>
      <c r="J314" s="1" t="s">
        <v>2730</v>
      </c>
      <c r="K314" s="1" t="s">
        <v>2730</v>
      </c>
      <c r="L314" s="1" t="s">
        <v>2730</v>
      </c>
      <c r="M314" s="1" t="s">
        <v>2730</v>
      </c>
      <c r="N314" s="1" t="s">
        <v>2730</v>
      </c>
      <c r="O314" s="1" t="s">
        <v>2730</v>
      </c>
      <c r="P314" s="9"/>
      <c r="R314" s="16">
        <f ca="1">IF(ISNUMBER(SEARCH(INDIRECT(CELL("address")),S314)),MAX($R$1:R313)+1,0)</f>
        <v>313</v>
      </c>
      <c r="S314" s="18" t="str">
        <f>Table1[[#This Row],[Portico_Specialty]]&amp;"-"&amp;Table1[[#This Row],[Code]]</f>
        <v>Internal Medicine: Pulmonary Disease-207RP1001X</v>
      </c>
      <c r="U314" s="16" t="str">
        <f ca="1">IFERROR(VLOOKUP(ROWS($U$1:U313),$R$2:$S$918,2,FALSE),"")</f>
        <v>Internal Medicine: Pulmonary Disease-207RP1001X</v>
      </c>
    </row>
    <row r="315" spans="1:21" x14ac:dyDescent="0.3">
      <c r="A315" s="21" t="s">
        <v>667</v>
      </c>
      <c r="B315" s="21" t="str">
        <f>Table1[[#This Row],[Code]]&amp;" "&amp;Table1[[#This Row],[Portico_Specialty]]</f>
        <v>207RR0500X Internal Medicine: Rheumatology</v>
      </c>
      <c r="C315" s="21" t="str">
        <f>CLEAN(Table1[[#This Row],[Code]])</f>
        <v>207RR0500X</v>
      </c>
      <c r="D315" s="1" t="s">
        <v>668</v>
      </c>
      <c r="E315" s="1"/>
      <c r="F315" s="1" t="s">
        <v>2587</v>
      </c>
      <c r="G315" s="4" t="s">
        <v>2593</v>
      </c>
      <c r="H315" s="1" t="s">
        <v>2731</v>
      </c>
      <c r="I315" s="1"/>
      <c r="J315" s="1" t="s">
        <v>2731</v>
      </c>
      <c r="K315" s="1" t="s">
        <v>2731</v>
      </c>
      <c r="L315" s="1" t="s">
        <v>2731</v>
      </c>
      <c r="M315" s="1" t="s">
        <v>2731</v>
      </c>
      <c r="N315" s="1" t="s">
        <v>2731</v>
      </c>
      <c r="O315" s="1" t="s">
        <v>2731</v>
      </c>
      <c r="P315" s="9"/>
      <c r="R315" s="16">
        <f ca="1">IF(ISNUMBER(SEARCH(INDIRECT(CELL("address")),S315)),MAX($R$1:R314)+1,0)</f>
        <v>314</v>
      </c>
      <c r="S315" s="18" t="str">
        <f>Table1[[#This Row],[Portico_Specialty]]&amp;"-"&amp;Table1[[#This Row],[Code]]</f>
        <v>Internal Medicine: Rheumatology-207RR0500X</v>
      </c>
      <c r="U315" s="16" t="str">
        <f ca="1">IFERROR(VLOOKUP(ROWS($U$1:U314),$R$2:$S$918,2,FALSE),"")</f>
        <v>Internal Medicine: Rheumatology-207RR0500X</v>
      </c>
    </row>
    <row r="316" spans="1:21" x14ac:dyDescent="0.3">
      <c r="A316" s="21" t="s">
        <v>671</v>
      </c>
      <c r="B316" s="21" t="str">
        <f>Table1[[#This Row],[Code]]&amp;" "&amp;Table1[[#This Row],[Portico_Specialty]]</f>
        <v>207RS0012X Internal Medicine: Sleep Medicine</v>
      </c>
      <c r="C316" s="21" t="str">
        <f>CLEAN(Table1[[#This Row],[Code]])</f>
        <v>207RS0012X</v>
      </c>
      <c r="D316" s="1" t="s">
        <v>672</v>
      </c>
      <c r="E316" s="1"/>
      <c r="F316" s="1" t="s">
        <v>2587</v>
      </c>
      <c r="G316" s="4" t="s">
        <v>2593</v>
      </c>
      <c r="H316" s="1" t="s">
        <v>2716</v>
      </c>
      <c r="I316" s="1"/>
      <c r="J316" s="1" t="s">
        <v>2716</v>
      </c>
      <c r="K316" s="1" t="s">
        <v>2716</v>
      </c>
      <c r="L316" s="1" t="s">
        <v>2709</v>
      </c>
      <c r="M316" s="1" t="s">
        <v>2716</v>
      </c>
      <c r="N316" s="1" t="s">
        <v>2716</v>
      </c>
      <c r="O316" s="1" t="s">
        <v>2716</v>
      </c>
      <c r="P316" s="9"/>
      <c r="R316" s="16">
        <f ca="1">IF(ISNUMBER(SEARCH(INDIRECT(CELL("address")),S316)),MAX($R$1:R315)+1,0)</f>
        <v>315</v>
      </c>
      <c r="S316" s="18" t="str">
        <f>Table1[[#This Row],[Portico_Specialty]]&amp;"-"&amp;Table1[[#This Row],[Code]]</f>
        <v>Internal Medicine: Sleep Medicine-207RS0012X</v>
      </c>
      <c r="U316" s="16" t="str">
        <f ca="1">IFERROR(VLOOKUP(ROWS($U$1:U315),$R$2:$S$918,2,FALSE),"")</f>
        <v>Internal Medicine: Sleep Medicine-207RS0012X</v>
      </c>
    </row>
    <row r="317" spans="1:21" x14ac:dyDescent="0.3">
      <c r="A317" s="21" t="s">
        <v>669</v>
      </c>
      <c r="B317" s="21" t="str">
        <f>Table1[[#This Row],[Code]]&amp;" "&amp;Table1[[#This Row],[Portico_Specialty]]</f>
        <v>207RS0010X Internal Medicine: Sports Medicine</v>
      </c>
      <c r="C317" s="21" t="str">
        <f>CLEAN(Table1[[#This Row],[Code]])</f>
        <v>207RS0010X</v>
      </c>
      <c r="D317" s="1" t="s">
        <v>670</v>
      </c>
      <c r="E317" s="1"/>
      <c r="F317" s="1" t="s">
        <v>2587</v>
      </c>
      <c r="G317" s="4" t="s">
        <v>2593</v>
      </c>
      <c r="H317" s="1" t="s">
        <v>2716</v>
      </c>
      <c r="I317" s="1"/>
      <c r="J317" s="1" t="s">
        <v>2716</v>
      </c>
      <c r="K317" s="1" t="s">
        <v>2716</v>
      </c>
      <c r="L317" s="1" t="s">
        <v>2716</v>
      </c>
      <c r="M317" s="1" t="s">
        <v>2716</v>
      </c>
      <c r="N317" s="1" t="s">
        <v>2666</v>
      </c>
      <c r="O317" s="1" t="s">
        <v>2716</v>
      </c>
      <c r="P317" s="9"/>
      <c r="R317" s="16">
        <f ca="1">IF(ISNUMBER(SEARCH(INDIRECT(CELL("address")),S317)),MAX($R$1:R316)+1,0)</f>
        <v>316</v>
      </c>
      <c r="S317" s="18" t="str">
        <f>Table1[[#This Row],[Portico_Specialty]]&amp;"-"&amp;Table1[[#This Row],[Code]]</f>
        <v>Internal Medicine: Sports Medicine-207RS0010X</v>
      </c>
      <c r="U317" s="16" t="str">
        <f ca="1">IFERROR(VLOOKUP(ROWS($U$1:U316),$R$2:$S$918,2,FALSE),"")</f>
        <v>Internal Medicine: Sports Medicine-207RS0010X</v>
      </c>
    </row>
    <row r="318" spans="1:21" x14ac:dyDescent="0.3">
      <c r="A318" s="21" t="s">
        <v>673</v>
      </c>
      <c r="B318" s="21" t="str">
        <f>Table1[[#This Row],[Code]]&amp;" "&amp;Table1[[#This Row],[Portico_Specialty]]</f>
        <v>207RT0003X Internal Medicine: Transplant Hepatology</v>
      </c>
      <c r="C318" s="21" t="str">
        <f>CLEAN(Table1[[#This Row],[Code]])</f>
        <v>207RT0003X</v>
      </c>
      <c r="D318" s="1" t="s">
        <v>674</v>
      </c>
      <c r="E318" s="1"/>
      <c r="F318" s="1" t="s">
        <v>2587</v>
      </c>
      <c r="G318" s="4" t="s">
        <v>2593</v>
      </c>
      <c r="H318" s="1" t="s">
        <v>2724</v>
      </c>
      <c r="I318" s="1"/>
      <c r="J318" s="1" t="s">
        <v>2724</v>
      </c>
      <c r="K318" s="1" t="s">
        <v>2716</v>
      </c>
      <c r="L318" s="1" t="s">
        <v>2724</v>
      </c>
      <c r="M318" s="1" t="s">
        <v>2724</v>
      </c>
      <c r="N318" s="1" t="s">
        <v>2724</v>
      </c>
      <c r="O318" s="1" t="s">
        <v>2716</v>
      </c>
      <c r="P318" s="9"/>
      <c r="R318" s="16">
        <f ca="1">IF(ISNUMBER(SEARCH(INDIRECT(CELL("address")),S318)),MAX($R$1:R317)+1,0)</f>
        <v>317</v>
      </c>
      <c r="S318" s="18" t="str">
        <f>Table1[[#This Row],[Portico_Specialty]]&amp;"-"&amp;Table1[[#This Row],[Code]]</f>
        <v>Internal Medicine: Transplant Hepatology-207RT0003X</v>
      </c>
      <c r="U318" s="16" t="str">
        <f ca="1">IFERROR(VLOOKUP(ROWS($U$1:U317),$R$2:$S$918,2,FALSE),"")</f>
        <v>Internal Medicine: Transplant Hepatology-207RT0003X</v>
      </c>
    </row>
    <row r="319" spans="1:21" x14ac:dyDescent="0.3">
      <c r="A319" s="21" t="s">
        <v>455</v>
      </c>
      <c r="B319" s="21" t="str">
        <f>Table1[[#This Row],[Code]]&amp;" "&amp;Table1[[#This Row],[Portico_Specialty]]</f>
        <v>171R00000X Interpreter</v>
      </c>
      <c r="C319" s="21" t="str">
        <f>CLEAN(Table1[[#This Row],[Code]])</f>
        <v>171R00000X</v>
      </c>
      <c r="D319" s="1" t="s">
        <v>456</v>
      </c>
      <c r="E319" s="1"/>
      <c r="F319" s="1" t="s">
        <v>2587</v>
      </c>
      <c r="G319" s="3" t="s">
        <v>2588</v>
      </c>
      <c r="H319" s="1" t="s">
        <v>2591</v>
      </c>
      <c r="I319" s="1"/>
      <c r="J319" s="1" t="s">
        <v>2590</v>
      </c>
      <c r="K319" s="1" t="s">
        <v>2590</v>
      </c>
      <c r="L319" s="1"/>
      <c r="M319" s="1"/>
      <c r="N319" s="1"/>
      <c r="O319" s="1" t="s">
        <v>2590</v>
      </c>
      <c r="P319" s="9"/>
      <c r="R319" s="16">
        <f ca="1">IF(ISNUMBER(SEARCH(INDIRECT(CELL("address")),S319)),MAX($R$1:R318)+1,0)</f>
        <v>318</v>
      </c>
      <c r="S319" s="18" t="str">
        <f>Table1[[#This Row],[Portico_Specialty]]&amp;"-"&amp;Table1[[#This Row],[Code]]</f>
        <v>Interpreter-171R00000X</v>
      </c>
      <c r="U319" s="16" t="str">
        <f ca="1">IFERROR(VLOOKUP(ROWS($U$1:U318),$R$2:$S$918,2,FALSE),"")</f>
        <v>Interpreter-171R00000X</v>
      </c>
    </row>
    <row r="320" spans="1:21" x14ac:dyDescent="0.3">
      <c r="A320" s="21" t="s">
        <v>1119</v>
      </c>
      <c r="B320" s="21" t="str">
        <f>Table1[[#This Row],[Code]]&amp;" "&amp;Table1[[#This Row],[Portico_Specialty]]</f>
        <v>226300000X Kinesiotherapist</v>
      </c>
      <c r="C320" s="21" t="str">
        <f>CLEAN(Table1[[#This Row],[Code]])</f>
        <v>226300000X</v>
      </c>
      <c r="D320" s="1" t="s">
        <v>1120</v>
      </c>
      <c r="E320" s="1"/>
      <c r="F320" s="1" t="s">
        <v>2587</v>
      </c>
      <c r="G320" s="3" t="s">
        <v>2588</v>
      </c>
      <c r="H320" s="1" t="s">
        <v>2600</v>
      </c>
      <c r="I320" s="1"/>
      <c r="J320" s="1" t="s">
        <v>2590</v>
      </c>
      <c r="K320" s="1" t="s">
        <v>2600</v>
      </c>
      <c r="L320" s="1" t="s">
        <v>2600</v>
      </c>
      <c r="M320" s="1"/>
      <c r="N320" s="1"/>
      <c r="O320" s="1" t="s">
        <v>2600</v>
      </c>
      <c r="P320" s="9"/>
      <c r="R320" s="16">
        <f ca="1">IF(ISNUMBER(SEARCH(INDIRECT(CELL("address")),S320)),MAX($R$1:R319)+1,0)</f>
        <v>319</v>
      </c>
      <c r="S320" s="18" t="str">
        <f>Table1[[#This Row],[Portico_Specialty]]&amp;"-"&amp;Table1[[#This Row],[Code]]</f>
        <v>Kinesiotherapist-226300000X</v>
      </c>
      <c r="U320" s="16" t="str">
        <f ca="1">IFERROR(VLOOKUP(ROWS($U$1:U319),$R$2:$S$918,2,FALSE),"")</f>
        <v>Kinesiotherapist-226300000X</v>
      </c>
    </row>
    <row r="321" spans="1:21" x14ac:dyDescent="0.3">
      <c r="A321" s="21" t="s">
        <v>495</v>
      </c>
      <c r="B321" s="21" t="str">
        <f>Table1[[#This Row],[Code]]&amp;" "&amp;Table1[[#This Row],[Portico_Specialty]]</f>
        <v>174N00000X Lactation Consultant, Non-RN</v>
      </c>
      <c r="C321" s="21" t="str">
        <f>CLEAN(Table1[[#This Row],[Code]])</f>
        <v>174N00000X</v>
      </c>
      <c r="D321" s="1" t="s">
        <v>496</v>
      </c>
      <c r="E321" s="1"/>
      <c r="F321" s="1" t="s">
        <v>2587</v>
      </c>
      <c r="G321" s="3" t="s">
        <v>2588</v>
      </c>
      <c r="H321" s="1"/>
      <c r="I321" s="1"/>
      <c r="J321" s="1" t="s">
        <v>2590</v>
      </c>
      <c r="K321" s="1" t="s">
        <v>2682</v>
      </c>
      <c r="L321" s="1"/>
      <c r="M321" s="1"/>
      <c r="N321" s="1"/>
      <c r="O321" s="1" t="s">
        <v>2682</v>
      </c>
      <c r="P321" s="9"/>
      <c r="R321" s="16">
        <f ca="1">IF(ISNUMBER(SEARCH(INDIRECT(CELL("address")),S321)),MAX($R$1:R320)+1,0)</f>
        <v>320</v>
      </c>
      <c r="S321" s="18" t="str">
        <f>Table1[[#This Row],[Portico_Specialty]]&amp;"-"&amp;Table1[[#This Row],[Code]]</f>
        <v>Lactation Consultant, Non-RN-174N00000X</v>
      </c>
      <c r="U321" s="16" t="str">
        <f ca="1">IFERROR(VLOOKUP(ROWS($U$1:U320),$R$2:$S$918,2,FALSE),"")</f>
        <v>Lactation Consultant, Non-RN-174N00000X</v>
      </c>
    </row>
    <row r="322" spans="1:21" x14ac:dyDescent="0.3">
      <c r="A322" s="21" t="s">
        <v>995</v>
      </c>
      <c r="B322" s="21" t="str">
        <f>Table1[[#This Row],[Code]]&amp;" "&amp;Table1[[#This Row],[Portico_Specialty]]</f>
        <v>209800000X Legal Medicine (Allopathic &amp; Osteopathic)</v>
      </c>
      <c r="C322" s="21" t="str">
        <f>CLEAN(Table1[[#This Row],[Code]])</f>
        <v>209800000X</v>
      </c>
      <c r="D322" s="1" t="s">
        <v>996</v>
      </c>
      <c r="E322" s="1"/>
      <c r="F322" s="1" t="s">
        <v>2587</v>
      </c>
      <c r="G322" s="3" t="s">
        <v>2588</v>
      </c>
      <c r="H322" s="1"/>
      <c r="I322" s="1"/>
      <c r="J322" s="1" t="s">
        <v>2590</v>
      </c>
      <c r="K322" s="1" t="s">
        <v>2708</v>
      </c>
      <c r="L322" s="1"/>
      <c r="M322" s="1"/>
      <c r="N322" s="1"/>
      <c r="O322" s="1" t="s">
        <v>2708</v>
      </c>
      <c r="P322" s="9"/>
      <c r="R322" s="16">
        <f ca="1">IF(ISNUMBER(SEARCH(INDIRECT(CELL("address")),S322)),MAX($R$1:R321)+1,0)</f>
        <v>321</v>
      </c>
      <c r="S322" s="18" t="str">
        <f>Table1[[#This Row],[Portico_Specialty]]&amp;"-"&amp;Table1[[#This Row],[Code]]</f>
        <v>Legal Medicine (Allopathic &amp; Osteopathic)-209800000X</v>
      </c>
      <c r="U322" s="16" t="str">
        <f ca="1">IFERROR(VLOOKUP(ROWS($U$1:U321),$R$2:$S$918,2,FALSE),"")</f>
        <v>Legal Medicine (Allopathic &amp; Osteopathic)-209800000X</v>
      </c>
    </row>
    <row r="323" spans="1:21" x14ac:dyDescent="0.3">
      <c r="A323" s="21" t="s">
        <v>471</v>
      </c>
      <c r="B323" s="21" t="str">
        <f>Table1[[#This Row],[Code]]&amp;" "&amp;Table1[[#This Row],[Portico_Specialty]]</f>
        <v>173000000X Legal Medicine (Other Service Providers)</v>
      </c>
      <c r="C323" s="21" t="str">
        <f>CLEAN(Table1[[#This Row],[Code]])</f>
        <v>173000000X</v>
      </c>
      <c r="D323" s="1" t="s">
        <v>472</v>
      </c>
      <c r="E323" s="1"/>
      <c r="F323" s="1" t="s">
        <v>2587</v>
      </c>
      <c r="G323" s="3" t="s">
        <v>2588</v>
      </c>
      <c r="H323" s="1"/>
      <c r="I323" s="1"/>
      <c r="J323" s="1" t="s">
        <v>2590</v>
      </c>
      <c r="K323" s="1" t="s">
        <v>2590</v>
      </c>
      <c r="L323" s="1"/>
      <c r="M323" s="1" t="s">
        <v>2615</v>
      </c>
      <c r="N323" s="1" t="s">
        <v>2719</v>
      </c>
      <c r="O323" s="1" t="s">
        <v>2590</v>
      </c>
      <c r="P323" s="9"/>
      <c r="R323" s="16">
        <f ca="1">IF(ISNUMBER(SEARCH(INDIRECT(CELL("address")),S323)),MAX($R$1:R322)+1,0)</f>
        <v>322</v>
      </c>
      <c r="S323" s="18" t="str">
        <f>Table1[[#This Row],[Portico_Specialty]]&amp;"-"&amp;Table1[[#This Row],[Code]]</f>
        <v>Legal Medicine (Other Service Providers)-173000000X</v>
      </c>
      <c r="U323" s="16" t="str">
        <f ca="1">IFERROR(VLOOKUP(ROWS($U$1:U322),$R$2:$S$918,2,FALSE),"")</f>
        <v>Legal Medicine (Other Service Providers)-173000000X</v>
      </c>
    </row>
    <row r="324" spans="1:21" ht="30.75" x14ac:dyDescent="0.3">
      <c r="A324" s="21" t="s">
        <v>2616</v>
      </c>
      <c r="B324" s="21" t="str">
        <f>Table1[[#This Row],[Code]]&amp;" "&amp;Table1[[#This Row],[Portico_Specialty]]</f>
        <v>AltSpec1 Licensed Chemical Dependency Counselor II Dual 399</v>
      </c>
      <c r="C324" s="21" t="str">
        <f>CLEAN(Table1[[#This Row],[Code]])</f>
        <v>AltSpec1</v>
      </c>
      <c r="D324" s="1" t="s">
        <v>2732</v>
      </c>
      <c r="E324" s="1"/>
      <c r="F324" s="1" t="s">
        <v>2587</v>
      </c>
      <c r="G324" s="3" t="s">
        <v>2588</v>
      </c>
      <c r="H324" s="1"/>
      <c r="I324" s="1"/>
      <c r="J324" s="1"/>
      <c r="K324" s="1" t="s">
        <v>2733</v>
      </c>
      <c r="L324" s="1"/>
      <c r="M324" s="1"/>
      <c r="N324" s="1"/>
      <c r="O324" s="1"/>
      <c r="P324" s="9"/>
      <c r="R324" s="16">
        <f ca="1">IF(ISNUMBER(SEARCH(INDIRECT(CELL("address")),S324)),MAX($R$1:R323)+1,0)</f>
        <v>323</v>
      </c>
      <c r="S324" s="18" t="str">
        <f>Table1[[#This Row],[Portico_Specialty]]&amp;"-"&amp;Table1[[#This Row],[Code]]</f>
        <v>Licensed Chemical Dependency Counselor II Dual 399-AltSpec1</v>
      </c>
      <c r="U324" s="16" t="str">
        <f ca="1">IFERROR(VLOOKUP(ROWS($U$1:U323),$R$2:$S$918,2,FALSE),"")</f>
        <v>Licensed Chemical Dependency Counselor II Dual 399-AltSpec1</v>
      </c>
    </row>
    <row r="325" spans="1:21" ht="30.75" x14ac:dyDescent="0.3">
      <c r="A325" s="21" t="s">
        <v>2616</v>
      </c>
      <c r="B325" s="21" t="str">
        <f>Table1[[#This Row],[Code]]&amp;" "&amp;Table1[[#This Row],[Portico_Specialty]]</f>
        <v>AltSpec1 Licensed Chemical Dependency Counselor II Dual 699</v>
      </c>
      <c r="C325" s="21" t="str">
        <f>CLEAN(Table1[[#This Row],[Code]])</f>
        <v>AltSpec1</v>
      </c>
      <c r="D325" s="1" t="s">
        <v>2734</v>
      </c>
      <c r="E325" s="1"/>
      <c r="F325" s="1" t="s">
        <v>2587</v>
      </c>
      <c r="G325" s="3" t="s">
        <v>2588</v>
      </c>
      <c r="H325" s="1"/>
      <c r="I325" s="1"/>
      <c r="J325" s="1"/>
      <c r="K325" s="1" t="s">
        <v>2735</v>
      </c>
      <c r="L325" s="1"/>
      <c r="M325" s="1"/>
      <c r="N325" s="1"/>
      <c r="O325" s="1"/>
      <c r="P325" s="9"/>
      <c r="R325" s="16">
        <f ca="1">IF(ISNUMBER(SEARCH(INDIRECT(CELL("address")),S325)),MAX($R$1:R324)+1,0)</f>
        <v>324</v>
      </c>
      <c r="S325" s="18" t="str">
        <f>Table1[[#This Row],[Portico_Specialty]]&amp;"-"&amp;Table1[[#This Row],[Code]]</f>
        <v>Licensed Chemical Dependency Counselor II Dual 699-AltSpec1</v>
      </c>
      <c r="U325" s="16" t="str">
        <f ca="1">IFERROR(VLOOKUP(ROWS($U$1:U324),$R$2:$S$918,2,FALSE),"")</f>
        <v>Licensed Chemical Dependency Counselor II Dual 699-AltSpec1</v>
      </c>
    </row>
    <row r="326" spans="1:21" ht="30.75" x14ac:dyDescent="0.3">
      <c r="A326" s="21" t="s">
        <v>2616</v>
      </c>
      <c r="B326" s="21" t="str">
        <f>Table1[[#This Row],[Code]]&amp;" "&amp;Table1[[#This Row],[Portico_Specialty]]</f>
        <v>AltSpec1 Licensed Chemical Dependency Counselor III Dual 399</v>
      </c>
      <c r="C326" s="21" t="str">
        <f>CLEAN(Table1[[#This Row],[Code]])</f>
        <v>AltSpec1</v>
      </c>
      <c r="D326" s="1" t="s">
        <v>2736</v>
      </c>
      <c r="E326" s="1"/>
      <c r="F326" s="1" t="s">
        <v>2587</v>
      </c>
      <c r="G326" s="3" t="s">
        <v>2588</v>
      </c>
      <c r="H326" s="1"/>
      <c r="I326" s="1"/>
      <c r="J326" s="1"/>
      <c r="K326" s="1" t="s">
        <v>2737</v>
      </c>
      <c r="L326" s="1"/>
      <c r="M326" s="1"/>
      <c r="N326" s="1"/>
      <c r="O326" s="1"/>
      <c r="P326" s="9"/>
      <c r="R326" s="16">
        <f ca="1">IF(ISNUMBER(SEARCH(INDIRECT(CELL("address")),S326)),MAX($R$1:R325)+1,0)</f>
        <v>325</v>
      </c>
      <c r="S326" s="18" t="str">
        <f>Table1[[#This Row],[Portico_Specialty]]&amp;"-"&amp;Table1[[#This Row],[Code]]</f>
        <v>Licensed Chemical Dependency Counselor III Dual 399-AltSpec1</v>
      </c>
      <c r="U326" s="16" t="str">
        <f ca="1">IFERROR(VLOOKUP(ROWS($U$1:U325),$R$2:$S$918,2,FALSE),"")</f>
        <v>Licensed Chemical Dependency Counselor III Dual 399-AltSpec1</v>
      </c>
    </row>
    <row r="327" spans="1:21" ht="30.75" x14ac:dyDescent="0.3">
      <c r="A327" s="21" t="s">
        <v>2616</v>
      </c>
      <c r="B327" s="21" t="str">
        <f>Table1[[#This Row],[Code]]&amp;" "&amp;Table1[[#This Row],[Portico_Specialty]]</f>
        <v>AltSpec1 Licensed Chemical Dependency Counselor III Dual 699</v>
      </c>
      <c r="C327" s="21" t="str">
        <f>CLEAN(Table1[[#This Row],[Code]])</f>
        <v>AltSpec1</v>
      </c>
      <c r="D327" s="1" t="s">
        <v>2738</v>
      </c>
      <c r="E327" s="1"/>
      <c r="F327" s="1" t="s">
        <v>2587</v>
      </c>
      <c r="G327" s="3" t="s">
        <v>2588</v>
      </c>
      <c r="H327" s="1"/>
      <c r="I327" s="1"/>
      <c r="J327" s="1"/>
      <c r="K327" s="1" t="s">
        <v>2739</v>
      </c>
      <c r="L327" s="1"/>
      <c r="M327" s="1"/>
      <c r="N327" s="1"/>
      <c r="O327" s="1"/>
      <c r="P327" s="9"/>
      <c r="R327" s="16">
        <f ca="1">IF(ISNUMBER(SEARCH(INDIRECT(CELL("address")),S327)),MAX($R$1:R326)+1,0)</f>
        <v>326</v>
      </c>
      <c r="S327" s="18" t="str">
        <f>Table1[[#This Row],[Portico_Specialty]]&amp;"-"&amp;Table1[[#This Row],[Code]]</f>
        <v>Licensed Chemical Dependency Counselor III Dual 699-AltSpec1</v>
      </c>
      <c r="U327" s="16" t="str">
        <f ca="1">IFERROR(VLOOKUP(ROWS($U$1:U326),$R$2:$S$918,2,FALSE),"")</f>
        <v>Licensed Chemical Dependency Counselor III Dual 699-AltSpec1</v>
      </c>
    </row>
    <row r="328" spans="1:21" ht="30.75" x14ac:dyDescent="0.3">
      <c r="A328" s="21" t="s">
        <v>2616</v>
      </c>
      <c r="B328" s="21" t="str">
        <f>Table1[[#This Row],[Code]]&amp;" "&amp;Table1[[#This Row],[Portico_Specialty]]</f>
        <v>AltSpec1 Licensed Independent Chemical Dependency Counselor Dual 399</v>
      </c>
      <c r="C328" s="21" t="str">
        <f>CLEAN(Table1[[#This Row],[Code]])</f>
        <v>AltSpec1</v>
      </c>
      <c r="D328" s="1" t="s">
        <v>2740</v>
      </c>
      <c r="E328" s="1"/>
      <c r="F328" s="1" t="s">
        <v>2587</v>
      </c>
      <c r="G328" s="3" t="s">
        <v>2588</v>
      </c>
      <c r="H328" s="1"/>
      <c r="I328" s="1"/>
      <c r="J328" s="1"/>
      <c r="K328" s="1" t="s">
        <v>2741</v>
      </c>
      <c r="L328" s="1"/>
      <c r="M328" s="1"/>
      <c r="N328" s="1"/>
      <c r="O328" s="1"/>
      <c r="P328" s="9"/>
      <c r="R328" s="16">
        <f ca="1">IF(ISNUMBER(SEARCH(INDIRECT(CELL("address")),S328)),MAX($R$1:R327)+1,0)</f>
        <v>327</v>
      </c>
      <c r="S328" s="18" t="str">
        <f>Table1[[#This Row],[Portico_Specialty]]&amp;"-"&amp;Table1[[#This Row],[Code]]</f>
        <v>Licensed Independent Chemical Dependency Counselor Dual 399-AltSpec1</v>
      </c>
      <c r="U328" s="16" t="str">
        <f ca="1">IFERROR(VLOOKUP(ROWS($U$1:U327),$R$2:$S$918,2,FALSE),"")</f>
        <v>Licensed Independent Chemical Dependency Counselor Dual 399-AltSpec1</v>
      </c>
    </row>
    <row r="329" spans="1:21" ht="30.75" x14ac:dyDescent="0.3">
      <c r="A329" s="21" t="s">
        <v>2616</v>
      </c>
      <c r="B329" s="21" t="str">
        <f>Table1[[#This Row],[Code]]&amp;" "&amp;Table1[[#This Row],[Portico_Specialty]]</f>
        <v>AltSpec1 Licensed Independent Chemical Dependency Counselor Dual 699</v>
      </c>
      <c r="C329" s="21" t="str">
        <f>CLEAN(Table1[[#This Row],[Code]])</f>
        <v>AltSpec1</v>
      </c>
      <c r="D329" s="1" t="s">
        <v>2742</v>
      </c>
      <c r="E329" s="1"/>
      <c r="F329" s="1" t="s">
        <v>2587</v>
      </c>
      <c r="G329" s="3" t="s">
        <v>2588</v>
      </c>
      <c r="H329" s="1"/>
      <c r="I329" s="1"/>
      <c r="J329" s="1"/>
      <c r="K329" s="1" t="s">
        <v>2743</v>
      </c>
      <c r="L329" s="1"/>
      <c r="M329" s="1"/>
      <c r="N329" s="1"/>
      <c r="O329" s="1"/>
      <c r="P329" s="9"/>
      <c r="R329" s="16">
        <f ca="1">IF(ISNUMBER(SEARCH(INDIRECT(CELL("address")),S329)),MAX($R$1:R328)+1,0)</f>
        <v>328</v>
      </c>
      <c r="S329" s="18" t="str">
        <f>Table1[[#This Row],[Portico_Specialty]]&amp;"-"&amp;Table1[[#This Row],[Code]]</f>
        <v>Licensed Independent Chemical Dependency Counselor Dual 699-AltSpec1</v>
      </c>
      <c r="U329" s="16" t="str">
        <f ca="1">IFERROR(VLOOKUP(ROWS($U$1:U328),$R$2:$S$918,2,FALSE),"")</f>
        <v>Licensed Independent Chemical Dependency Counselor Dual 699-AltSpec1</v>
      </c>
    </row>
    <row r="330" spans="1:21" ht="30.75" x14ac:dyDescent="0.3">
      <c r="A330" s="21" t="s">
        <v>2616</v>
      </c>
      <c r="B330" s="21" t="str">
        <f>Table1[[#This Row],[Code]]&amp;" "&amp;Table1[[#This Row],[Portico_Specialty]]</f>
        <v>AltSpec1 Licensed Independent Marriage and Family Therapist Dual 399</v>
      </c>
      <c r="C330" s="21" t="str">
        <f>CLEAN(Table1[[#This Row],[Code]])</f>
        <v>AltSpec1</v>
      </c>
      <c r="D330" s="1" t="s">
        <v>2744</v>
      </c>
      <c r="E330" s="1"/>
      <c r="F330" s="1" t="s">
        <v>2587</v>
      </c>
      <c r="G330" s="3" t="s">
        <v>2588</v>
      </c>
      <c r="H330" s="1"/>
      <c r="I330" s="1"/>
      <c r="J330" s="1"/>
      <c r="K330" s="1" t="s">
        <v>2745</v>
      </c>
      <c r="L330" s="1"/>
      <c r="M330" s="1"/>
      <c r="N330" s="1"/>
      <c r="O330" s="1"/>
      <c r="P330" s="9"/>
      <c r="R330" s="16">
        <f ca="1">IF(ISNUMBER(SEARCH(INDIRECT(CELL("address")),S330)),MAX($R$1:R329)+1,0)</f>
        <v>329</v>
      </c>
      <c r="S330" s="18" t="str">
        <f>Table1[[#This Row],[Portico_Specialty]]&amp;"-"&amp;Table1[[#This Row],[Code]]</f>
        <v>Licensed Independent Marriage and Family Therapist Dual 399-AltSpec1</v>
      </c>
      <c r="U330" s="16" t="str">
        <f ca="1">IFERROR(VLOOKUP(ROWS($U$1:U329),$R$2:$S$918,2,FALSE),"")</f>
        <v>Licensed Independent Marriage and Family Therapist Dual 399-AltSpec1</v>
      </c>
    </row>
    <row r="331" spans="1:21" ht="30.75" x14ac:dyDescent="0.3">
      <c r="A331" s="21" t="s">
        <v>2616</v>
      </c>
      <c r="B331" s="21" t="str">
        <f>Table1[[#This Row],[Code]]&amp;" "&amp;Table1[[#This Row],[Portico_Specialty]]</f>
        <v>AltSpec1 Licensed Independent Marriage and Family Therapist Dual 699</v>
      </c>
      <c r="C331" s="21" t="str">
        <f>CLEAN(Table1[[#This Row],[Code]])</f>
        <v>AltSpec1</v>
      </c>
      <c r="D331" s="1" t="s">
        <v>2746</v>
      </c>
      <c r="E331" s="1"/>
      <c r="F331" s="1" t="s">
        <v>2587</v>
      </c>
      <c r="G331" s="3" t="s">
        <v>2588</v>
      </c>
      <c r="H331" s="1"/>
      <c r="I331" s="1"/>
      <c r="J331" s="1"/>
      <c r="K331" s="1" t="s">
        <v>2747</v>
      </c>
      <c r="L331" s="1"/>
      <c r="M331" s="1"/>
      <c r="N331" s="1"/>
      <c r="O331" s="1"/>
      <c r="P331" s="9"/>
      <c r="R331" s="16">
        <f ca="1">IF(ISNUMBER(SEARCH(INDIRECT(CELL("address")),S331)),MAX($R$1:R330)+1,0)</f>
        <v>330</v>
      </c>
      <c r="S331" s="18" t="str">
        <f>Table1[[#This Row],[Portico_Specialty]]&amp;"-"&amp;Table1[[#This Row],[Code]]</f>
        <v>Licensed Independent Marriage and Family Therapist Dual 699-AltSpec1</v>
      </c>
      <c r="U331" s="16" t="str">
        <f ca="1">IFERROR(VLOOKUP(ROWS($U$1:U330),$R$2:$S$918,2,FALSE),"")</f>
        <v>Licensed Independent Marriage and Family Therapist Dual 699-AltSpec1</v>
      </c>
    </row>
    <row r="332" spans="1:21" x14ac:dyDescent="0.3">
      <c r="A332" s="21" t="s">
        <v>2616</v>
      </c>
      <c r="B332" s="21" t="str">
        <f>Table1[[#This Row],[Code]]&amp;" "&amp;Table1[[#This Row],[Portico_Specialty]]</f>
        <v>AltSpec1 Licensed Independent Social Worker Dual 399</v>
      </c>
      <c r="C332" s="21" t="str">
        <f>CLEAN(Table1[[#This Row],[Code]])</f>
        <v>AltSpec1</v>
      </c>
      <c r="D332" s="1" t="s">
        <v>2748</v>
      </c>
      <c r="E332" s="1"/>
      <c r="F332" s="1" t="s">
        <v>2587</v>
      </c>
      <c r="G332" s="3" t="s">
        <v>2588</v>
      </c>
      <c r="H332" s="1"/>
      <c r="I332" s="1"/>
      <c r="J332" s="1"/>
      <c r="K332" s="1" t="s">
        <v>2749</v>
      </c>
      <c r="L332" s="1"/>
      <c r="M332" s="1"/>
      <c r="N332" s="1"/>
      <c r="O332" s="1"/>
      <c r="P332" s="9"/>
      <c r="R332" s="16">
        <f ca="1">IF(ISNUMBER(SEARCH(INDIRECT(CELL("address")),S332)),MAX($R$1:R331)+1,0)</f>
        <v>331</v>
      </c>
      <c r="S332" s="18" t="str">
        <f>Table1[[#This Row],[Portico_Specialty]]&amp;"-"&amp;Table1[[#This Row],[Code]]</f>
        <v>Licensed Independent Social Worker Dual 399-AltSpec1</v>
      </c>
      <c r="U332" s="16" t="str">
        <f ca="1">IFERROR(VLOOKUP(ROWS($U$1:U331),$R$2:$S$918,2,FALSE),"")</f>
        <v>Licensed Independent Social Worker Dual 399-AltSpec1</v>
      </c>
    </row>
    <row r="333" spans="1:21" x14ac:dyDescent="0.3">
      <c r="A333" s="21" t="s">
        <v>2616</v>
      </c>
      <c r="B333" s="21" t="str">
        <f>Table1[[#This Row],[Code]]&amp;" "&amp;Table1[[#This Row],[Portico_Specialty]]</f>
        <v>AltSpec1 Licensed Independent Social Worker Dual 699</v>
      </c>
      <c r="C333" s="21" t="str">
        <f>CLEAN(Table1[[#This Row],[Code]])</f>
        <v>AltSpec1</v>
      </c>
      <c r="D333" s="1" t="s">
        <v>2750</v>
      </c>
      <c r="E333" s="1"/>
      <c r="F333" s="1" t="s">
        <v>2587</v>
      </c>
      <c r="G333" s="3" t="s">
        <v>2588</v>
      </c>
      <c r="H333" s="1"/>
      <c r="I333" s="1"/>
      <c r="J333" s="1"/>
      <c r="K333" s="1" t="s">
        <v>2751</v>
      </c>
      <c r="L333" s="1"/>
      <c r="M333" s="1"/>
      <c r="N333" s="1"/>
      <c r="O333" s="1"/>
      <c r="P333" s="9"/>
      <c r="R333" s="16">
        <f ca="1">IF(ISNUMBER(SEARCH(INDIRECT(CELL("address")),S333)),MAX($R$1:R332)+1,0)</f>
        <v>332</v>
      </c>
      <c r="S333" s="18" t="str">
        <f>Table1[[#This Row],[Portico_Specialty]]&amp;"-"&amp;Table1[[#This Row],[Code]]</f>
        <v>Licensed Independent Social Worker Dual 699-AltSpec1</v>
      </c>
      <c r="U333" s="16" t="str">
        <f ca="1">IFERROR(VLOOKUP(ROWS($U$1:U332),$R$2:$S$918,2,FALSE),"")</f>
        <v>Licensed Independent Social Worker Dual 699-AltSpec1</v>
      </c>
    </row>
    <row r="334" spans="1:21" ht="30.75" x14ac:dyDescent="0.3">
      <c r="A334" s="21" t="s">
        <v>2616</v>
      </c>
      <c r="B334" s="21" t="str">
        <f>Table1[[#This Row],[Code]]&amp;" "&amp;Table1[[#This Row],[Portico_Specialty]]</f>
        <v>AltSpec1 Licensed Marriage and Family Therapist Dual 399</v>
      </c>
      <c r="C334" s="21" t="str">
        <f>CLEAN(Table1[[#This Row],[Code]])</f>
        <v>AltSpec1</v>
      </c>
      <c r="D334" s="1" t="s">
        <v>2752</v>
      </c>
      <c r="E334" s="1"/>
      <c r="F334" s="1" t="s">
        <v>2587</v>
      </c>
      <c r="G334" s="3" t="s">
        <v>2588</v>
      </c>
      <c r="H334" s="1"/>
      <c r="I334" s="1"/>
      <c r="J334" s="1"/>
      <c r="K334" s="1" t="s">
        <v>2753</v>
      </c>
      <c r="L334" s="1"/>
      <c r="M334" s="1"/>
      <c r="N334" s="1"/>
      <c r="O334" s="1"/>
      <c r="P334" s="9"/>
      <c r="R334" s="16">
        <f ca="1">IF(ISNUMBER(SEARCH(INDIRECT(CELL("address")),S334)),MAX($R$1:R333)+1,0)</f>
        <v>333</v>
      </c>
      <c r="S334" s="18" t="str">
        <f>Table1[[#This Row],[Portico_Specialty]]&amp;"-"&amp;Table1[[#This Row],[Code]]</f>
        <v>Licensed Marriage and Family Therapist Dual 399-AltSpec1</v>
      </c>
      <c r="U334" s="16" t="str">
        <f ca="1">IFERROR(VLOOKUP(ROWS($U$1:U333),$R$2:$S$918,2,FALSE),"")</f>
        <v>Licensed Marriage and Family Therapist Dual 399-AltSpec1</v>
      </c>
    </row>
    <row r="335" spans="1:21" ht="30.75" x14ac:dyDescent="0.3">
      <c r="A335" s="21" t="s">
        <v>2616</v>
      </c>
      <c r="B335" s="21" t="str">
        <f>Table1[[#This Row],[Code]]&amp;" "&amp;Table1[[#This Row],[Portico_Specialty]]</f>
        <v>AltSpec1 Licensed Marriage and Family Therapist Dual 699</v>
      </c>
      <c r="C335" s="21" t="str">
        <f>CLEAN(Table1[[#This Row],[Code]])</f>
        <v>AltSpec1</v>
      </c>
      <c r="D335" s="1" t="s">
        <v>2754</v>
      </c>
      <c r="E335" s="1"/>
      <c r="F335" s="1" t="s">
        <v>2587</v>
      </c>
      <c r="G335" s="3" t="s">
        <v>2588</v>
      </c>
      <c r="H335" s="1"/>
      <c r="I335" s="1"/>
      <c r="J335" s="1"/>
      <c r="K335" s="1" t="s">
        <v>2755</v>
      </c>
      <c r="L335" s="1"/>
      <c r="M335" s="1"/>
      <c r="N335" s="1"/>
      <c r="O335" s="1"/>
      <c r="P335" s="9"/>
      <c r="R335" s="16">
        <f ca="1">IF(ISNUMBER(SEARCH(INDIRECT(CELL("address")),S335)),MAX($R$1:R334)+1,0)</f>
        <v>334</v>
      </c>
      <c r="S335" s="18" t="str">
        <f>Table1[[#This Row],[Portico_Specialty]]&amp;"-"&amp;Table1[[#This Row],[Code]]</f>
        <v>Licensed Marriage and Family Therapist Dual 699-AltSpec1</v>
      </c>
      <c r="U335" s="16" t="str">
        <f ca="1">IFERROR(VLOOKUP(ROWS($U$1:U334),$R$2:$S$918,2,FALSE),"")</f>
        <v>Licensed Marriage and Family Therapist Dual 699-AltSpec1</v>
      </c>
    </row>
    <row r="336" spans="1:21" x14ac:dyDescent="0.3">
      <c r="A336" s="21" t="s">
        <v>2616</v>
      </c>
      <c r="B336" s="21" t="str">
        <f>Table1[[#This Row],[Code]]&amp;" "&amp;Table1[[#This Row],[Portico_Specialty]]</f>
        <v>AltSpec1 Licensed Marriage/Family Counselor - HCBS</v>
      </c>
      <c r="C336" s="21" t="str">
        <f>CLEAN(Table1[[#This Row],[Code]])</f>
        <v>AltSpec1</v>
      </c>
      <c r="D336" s="1" t="s">
        <v>2756</v>
      </c>
      <c r="E336" s="1"/>
      <c r="F336" s="1" t="s">
        <v>2587</v>
      </c>
      <c r="G336" s="3" t="s">
        <v>2588</v>
      </c>
      <c r="H336" s="1"/>
      <c r="I336" s="1"/>
      <c r="J336" s="1"/>
      <c r="K336" s="1" t="s">
        <v>2757</v>
      </c>
      <c r="L336" s="1"/>
      <c r="M336" s="1"/>
      <c r="N336" s="1"/>
      <c r="O336" s="1"/>
      <c r="P336" s="9"/>
      <c r="R336" s="16">
        <f ca="1">IF(ISNUMBER(SEARCH(INDIRECT(CELL("address")),S336)),MAX($R$1:R335)+1,0)</f>
        <v>335</v>
      </c>
      <c r="S336" s="18" t="str">
        <f>Table1[[#This Row],[Portico_Specialty]]&amp;"-"&amp;Table1[[#This Row],[Code]]</f>
        <v>Licensed Marriage/Family Counselor - HCBS-AltSpec1</v>
      </c>
      <c r="U336" s="16" t="str">
        <f ca="1">IFERROR(VLOOKUP(ROWS($U$1:U335),$R$2:$S$918,2,FALSE),"")</f>
        <v>Licensed Marriage/Family Counselor - HCBS-AltSpec1</v>
      </c>
    </row>
    <row r="337" spans="1:21" x14ac:dyDescent="0.3">
      <c r="A337" s="21" t="s">
        <v>433</v>
      </c>
      <c r="B337" s="21" t="str">
        <f>Table1[[#This Row],[Code]]&amp;" "&amp;Table1[[#This Row],[Portico_Specialty]]</f>
        <v>164W00000X Licensed Practical Nurse</v>
      </c>
      <c r="C337" s="21" t="str">
        <f>CLEAN(Table1[[#This Row],[Code]])</f>
        <v>164W00000X</v>
      </c>
      <c r="D337" s="1" t="s">
        <v>434</v>
      </c>
      <c r="E337" s="1"/>
      <c r="F337" s="4" t="s">
        <v>2619</v>
      </c>
      <c r="G337" s="3" t="s">
        <v>2588</v>
      </c>
      <c r="H337" s="1" t="s">
        <v>2758</v>
      </c>
      <c r="I337" s="1"/>
      <c r="J337" s="1" t="s">
        <v>2758</v>
      </c>
      <c r="K337" s="1" t="s">
        <v>2759</v>
      </c>
      <c r="L337" s="1" t="s">
        <v>2758</v>
      </c>
      <c r="M337" s="1" t="s">
        <v>2758</v>
      </c>
      <c r="N337" s="1" t="s">
        <v>2758</v>
      </c>
      <c r="O337" s="1" t="s">
        <v>2759</v>
      </c>
      <c r="P337" s="9"/>
      <c r="R337" s="16">
        <f ca="1">IF(ISNUMBER(SEARCH(INDIRECT(CELL("address")),S337)),MAX($R$1:R336)+1,0)</f>
        <v>336</v>
      </c>
      <c r="S337" s="18" t="str">
        <f>Table1[[#This Row],[Portico_Specialty]]&amp;"-"&amp;Table1[[#This Row],[Code]]</f>
        <v>Licensed Practical Nurse-164W00000X</v>
      </c>
      <c r="U337" s="16" t="str">
        <f ca="1">IFERROR(VLOOKUP(ROWS($U$1:U336),$R$2:$S$918,2,FALSE),"")</f>
        <v>Licensed Practical Nurse-164W00000X</v>
      </c>
    </row>
    <row r="338" spans="1:21" x14ac:dyDescent="0.3">
      <c r="A338" s="21" t="s">
        <v>2616</v>
      </c>
      <c r="B338" s="21" t="str">
        <f>Table1[[#This Row],[Code]]&amp;" "&amp;Table1[[#This Row],[Portico_Specialty]]</f>
        <v>AltSpec1 Licensed Practical Nurse Dual 399</v>
      </c>
      <c r="C338" s="21" t="str">
        <f>CLEAN(Table1[[#This Row],[Code]])</f>
        <v>AltSpec1</v>
      </c>
      <c r="D338" s="1" t="s">
        <v>2760</v>
      </c>
      <c r="E338" s="1"/>
      <c r="F338" s="1" t="s">
        <v>2587</v>
      </c>
      <c r="G338" s="3" t="s">
        <v>2588</v>
      </c>
      <c r="H338" s="1"/>
      <c r="I338" s="1"/>
      <c r="J338" s="1"/>
      <c r="K338" s="1" t="s">
        <v>2761</v>
      </c>
      <c r="L338" s="1"/>
      <c r="M338" s="1"/>
      <c r="N338" s="1"/>
      <c r="O338" s="1"/>
      <c r="P338" s="9"/>
      <c r="R338" s="16">
        <f ca="1">IF(ISNUMBER(SEARCH(INDIRECT(CELL("address")),S338)),MAX($R$1:R337)+1,0)</f>
        <v>337</v>
      </c>
      <c r="S338" s="18" t="str">
        <f>Table1[[#This Row],[Portico_Specialty]]&amp;"-"&amp;Table1[[#This Row],[Code]]</f>
        <v>Licensed Practical Nurse Dual 399-AltSpec1</v>
      </c>
      <c r="U338" s="16" t="str">
        <f ca="1">IFERROR(VLOOKUP(ROWS($U$1:U337),$R$2:$S$918,2,FALSE),"")</f>
        <v>Licensed Practical Nurse Dual 399-AltSpec1</v>
      </c>
    </row>
    <row r="339" spans="1:21" x14ac:dyDescent="0.3">
      <c r="A339" s="21" t="s">
        <v>2616</v>
      </c>
      <c r="B339" s="21" t="str">
        <f>Table1[[#This Row],[Code]]&amp;" "&amp;Table1[[#This Row],[Portico_Specialty]]</f>
        <v>AltSpec1 Licensed Practical Nurse Dual 699</v>
      </c>
      <c r="C339" s="21" t="str">
        <f>CLEAN(Table1[[#This Row],[Code]])</f>
        <v>AltSpec1</v>
      </c>
      <c r="D339" s="1" t="s">
        <v>2762</v>
      </c>
      <c r="E339" s="1"/>
      <c r="F339" s="1" t="s">
        <v>2587</v>
      </c>
      <c r="G339" s="3" t="s">
        <v>2588</v>
      </c>
      <c r="H339" s="1"/>
      <c r="I339" s="1"/>
      <c r="J339" s="1"/>
      <c r="K339" s="1" t="s">
        <v>2763</v>
      </c>
      <c r="L339" s="1"/>
      <c r="M339" s="1"/>
      <c r="N339" s="1"/>
      <c r="O339" s="1"/>
      <c r="P339" s="9"/>
      <c r="R339" s="16">
        <f ca="1">IF(ISNUMBER(SEARCH(INDIRECT(CELL("address")),S339)),MAX($R$1:R338)+1,0)</f>
        <v>338</v>
      </c>
      <c r="S339" s="18" t="str">
        <f>Table1[[#This Row],[Portico_Specialty]]&amp;"-"&amp;Table1[[#This Row],[Code]]</f>
        <v>Licensed Practical Nurse Dual 699-AltSpec1</v>
      </c>
      <c r="U339" s="16" t="str">
        <f ca="1">IFERROR(VLOOKUP(ROWS($U$1:U338),$R$2:$S$918,2,FALSE),"")</f>
        <v>Licensed Practical Nurse Dual 699-AltSpec1</v>
      </c>
    </row>
    <row r="340" spans="1:21" ht="30.75" x14ac:dyDescent="0.3">
      <c r="A340" s="21" t="s">
        <v>2616</v>
      </c>
      <c r="B340" s="21" t="str">
        <f>Table1[[#This Row],[Code]]&amp;" "&amp;Table1[[#This Row],[Portico_Specialty]]</f>
        <v>AltSpec1 Licensed Professional Clinical Counselor Dual 399</v>
      </c>
      <c r="C340" s="21" t="str">
        <f>CLEAN(Table1[[#This Row],[Code]])</f>
        <v>AltSpec1</v>
      </c>
      <c r="D340" s="1" t="s">
        <v>2764</v>
      </c>
      <c r="E340" s="1"/>
      <c r="F340" s="1" t="s">
        <v>2587</v>
      </c>
      <c r="G340" s="3" t="s">
        <v>2588</v>
      </c>
      <c r="H340" s="1"/>
      <c r="I340" s="1"/>
      <c r="J340" s="1"/>
      <c r="K340" s="1" t="s">
        <v>2765</v>
      </c>
      <c r="L340" s="1"/>
      <c r="M340" s="1"/>
      <c r="N340" s="1"/>
      <c r="O340" s="1"/>
      <c r="P340" s="9"/>
      <c r="R340" s="16">
        <f ca="1">IF(ISNUMBER(SEARCH(INDIRECT(CELL("address")),S340)),MAX($R$1:R339)+1,0)</f>
        <v>339</v>
      </c>
      <c r="S340" s="18" t="str">
        <f>Table1[[#This Row],[Portico_Specialty]]&amp;"-"&amp;Table1[[#This Row],[Code]]</f>
        <v>Licensed Professional Clinical Counselor Dual 399-AltSpec1</v>
      </c>
      <c r="U340" s="16" t="str">
        <f ca="1">IFERROR(VLOOKUP(ROWS($U$1:U339),$R$2:$S$918,2,FALSE),"")</f>
        <v>Licensed Professional Clinical Counselor Dual 399-AltSpec1</v>
      </c>
    </row>
    <row r="341" spans="1:21" ht="30.75" x14ac:dyDescent="0.3">
      <c r="A341" s="21" t="s">
        <v>2616</v>
      </c>
      <c r="B341" s="21" t="str">
        <f>Table1[[#This Row],[Code]]&amp;" "&amp;Table1[[#This Row],[Portico_Specialty]]</f>
        <v>AltSpec1 Licensed Professional Clinical Counselor Dual 699</v>
      </c>
      <c r="C341" s="21" t="str">
        <f>CLEAN(Table1[[#This Row],[Code]])</f>
        <v>AltSpec1</v>
      </c>
      <c r="D341" s="1" t="s">
        <v>2766</v>
      </c>
      <c r="E341" s="1"/>
      <c r="F341" s="1" t="s">
        <v>2587</v>
      </c>
      <c r="G341" s="3" t="s">
        <v>2588</v>
      </c>
      <c r="H341" s="1"/>
      <c r="I341" s="1"/>
      <c r="J341" s="1"/>
      <c r="K341" s="1" t="s">
        <v>2767</v>
      </c>
      <c r="L341" s="1"/>
      <c r="M341" s="1"/>
      <c r="N341" s="1"/>
      <c r="O341" s="1"/>
      <c r="P341" s="9"/>
      <c r="R341" s="16">
        <f ca="1">IF(ISNUMBER(SEARCH(INDIRECT(CELL("address")),S341)),MAX($R$1:R340)+1,0)</f>
        <v>340</v>
      </c>
      <c r="S341" s="18" t="str">
        <f>Table1[[#This Row],[Portico_Specialty]]&amp;"-"&amp;Table1[[#This Row],[Code]]</f>
        <v>Licensed Professional Clinical Counselor Dual 699-AltSpec1</v>
      </c>
      <c r="U341" s="16" t="str">
        <f ca="1">IFERROR(VLOOKUP(ROWS($U$1:U340),$R$2:$S$918,2,FALSE),"")</f>
        <v>Licensed Professional Clinical Counselor Dual 699-AltSpec1</v>
      </c>
    </row>
    <row r="342" spans="1:21" x14ac:dyDescent="0.3">
      <c r="A342" s="21" t="s">
        <v>2616</v>
      </c>
      <c r="B342" s="21" t="str">
        <f>Table1[[#This Row],[Code]]&amp;" "&amp;Table1[[#This Row],[Portico_Specialty]]</f>
        <v>AltSpec1 Licensed Professional Counselor - HCBS</v>
      </c>
      <c r="C342" s="21" t="str">
        <f>CLEAN(Table1[[#This Row],[Code]])</f>
        <v>AltSpec1</v>
      </c>
      <c r="D342" s="1" t="s">
        <v>2768</v>
      </c>
      <c r="E342" s="1"/>
      <c r="F342" s="1" t="s">
        <v>2587</v>
      </c>
      <c r="G342" s="3" t="s">
        <v>2588</v>
      </c>
      <c r="H342" s="1"/>
      <c r="I342" s="1"/>
      <c r="J342" s="1"/>
      <c r="K342" s="1" t="s">
        <v>2769</v>
      </c>
      <c r="L342" s="1"/>
      <c r="M342" s="1"/>
      <c r="N342" s="1"/>
      <c r="O342" s="1"/>
      <c r="P342" s="9"/>
      <c r="R342" s="16">
        <f ca="1">IF(ISNUMBER(SEARCH(INDIRECT(CELL("address")),S342)),MAX($R$1:R341)+1,0)</f>
        <v>341</v>
      </c>
      <c r="S342" s="18" t="str">
        <f>Table1[[#This Row],[Portico_Specialty]]&amp;"-"&amp;Table1[[#This Row],[Code]]</f>
        <v>Licensed Professional Counselor - HCBS-AltSpec1</v>
      </c>
      <c r="U342" s="16" t="str">
        <f ca="1">IFERROR(VLOOKUP(ROWS($U$1:U341),$R$2:$S$918,2,FALSE),"")</f>
        <v>Licensed Professional Counselor - HCBS-AltSpec1</v>
      </c>
    </row>
    <row r="343" spans="1:21" x14ac:dyDescent="0.3">
      <c r="A343" s="21" t="s">
        <v>2616</v>
      </c>
      <c r="B343" s="21" t="str">
        <f>Table1[[#This Row],[Code]]&amp;" "&amp;Table1[[#This Row],[Portico_Specialty]]</f>
        <v>AltSpec1 Licensed Professional Counselor Dual 399</v>
      </c>
      <c r="C343" s="21" t="str">
        <f>CLEAN(Table1[[#This Row],[Code]])</f>
        <v>AltSpec1</v>
      </c>
      <c r="D343" s="1" t="s">
        <v>2770</v>
      </c>
      <c r="E343" s="1"/>
      <c r="F343" s="1" t="s">
        <v>2587</v>
      </c>
      <c r="G343" s="3" t="s">
        <v>2588</v>
      </c>
      <c r="H343" s="1"/>
      <c r="I343" s="1"/>
      <c r="J343" s="1"/>
      <c r="K343" s="1" t="s">
        <v>2771</v>
      </c>
      <c r="L343" s="1"/>
      <c r="M343" s="1"/>
      <c r="N343" s="1"/>
      <c r="O343" s="1"/>
      <c r="P343" s="9"/>
      <c r="R343" s="16">
        <f ca="1">IF(ISNUMBER(SEARCH(INDIRECT(CELL("address")),S343)),MAX($R$1:R342)+1,0)</f>
        <v>342</v>
      </c>
      <c r="S343" s="18" t="str">
        <f>Table1[[#This Row],[Portico_Specialty]]&amp;"-"&amp;Table1[[#This Row],[Code]]</f>
        <v>Licensed Professional Counselor Dual 399-AltSpec1</v>
      </c>
      <c r="U343" s="16" t="str">
        <f ca="1">IFERROR(VLOOKUP(ROWS($U$1:U342),$R$2:$S$918,2,FALSE),"")</f>
        <v>Licensed Professional Counselor Dual 399-AltSpec1</v>
      </c>
    </row>
    <row r="344" spans="1:21" x14ac:dyDescent="0.3">
      <c r="A344" s="21" t="s">
        <v>2616</v>
      </c>
      <c r="B344" s="21" t="str">
        <f>Table1[[#This Row],[Code]]&amp;" "&amp;Table1[[#This Row],[Portico_Specialty]]</f>
        <v>AltSpec1 Licensed Professional Counselor Dual 699</v>
      </c>
      <c r="C344" s="21" t="str">
        <f>CLEAN(Table1[[#This Row],[Code]])</f>
        <v>AltSpec1</v>
      </c>
      <c r="D344" s="1" t="s">
        <v>2772</v>
      </c>
      <c r="E344" s="1"/>
      <c r="F344" s="1" t="s">
        <v>2587</v>
      </c>
      <c r="G344" s="3" t="s">
        <v>2588</v>
      </c>
      <c r="H344" s="1"/>
      <c r="I344" s="1"/>
      <c r="J344" s="1"/>
      <c r="K344" s="1" t="s">
        <v>2773</v>
      </c>
      <c r="L344" s="1"/>
      <c r="M344" s="1"/>
      <c r="N344" s="1"/>
      <c r="O344" s="1"/>
      <c r="P344" s="9"/>
      <c r="R344" s="16">
        <f ca="1">IF(ISNUMBER(SEARCH(INDIRECT(CELL("address")),S344)),MAX($R$1:R343)+1,0)</f>
        <v>343</v>
      </c>
      <c r="S344" s="18" t="str">
        <f>Table1[[#This Row],[Portico_Specialty]]&amp;"-"&amp;Table1[[#This Row],[Code]]</f>
        <v>Licensed Professional Counselor Dual 699-AltSpec1</v>
      </c>
      <c r="U344" s="16" t="str">
        <f ca="1">IFERROR(VLOOKUP(ROWS($U$1:U343),$R$2:$S$918,2,FALSE),"")</f>
        <v>Licensed Professional Counselor Dual 699-AltSpec1</v>
      </c>
    </row>
    <row r="345" spans="1:21" x14ac:dyDescent="0.3">
      <c r="A345" s="21" t="s">
        <v>437</v>
      </c>
      <c r="B345" s="21" t="str">
        <f>Table1[[#This Row],[Code]]&amp;" "&amp;Table1[[#This Row],[Portico_Specialty]]</f>
        <v>167G00000X Licensed Psychiatric Technician</v>
      </c>
      <c r="C345" s="21" t="str">
        <f>CLEAN(Table1[[#This Row],[Code]])</f>
        <v>167G00000X</v>
      </c>
      <c r="D345" s="1" t="s">
        <v>438</v>
      </c>
      <c r="E345" s="1"/>
      <c r="F345" s="1" t="s">
        <v>2607</v>
      </c>
      <c r="G345" s="3" t="s">
        <v>2588</v>
      </c>
      <c r="H345" s="1" t="s">
        <v>2758</v>
      </c>
      <c r="I345" s="1"/>
      <c r="J345" s="1" t="s">
        <v>2758</v>
      </c>
      <c r="K345" s="1" t="s">
        <v>2759</v>
      </c>
      <c r="L345" s="1" t="s">
        <v>2758</v>
      </c>
      <c r="M345" s="1" t="s">
        <v>2758</v>
      </c>
      <c r="N345" s="1" t="s">
        <v>2758</v>
      </c>
      <c r="O345" s="1" t="s">
        <v>2759</v>
      </c>
      <c r="P345" s="9"/>
      <c r="R345" s="16">
        <f ca="1">IF(ISNUMBER(SEARCH(INDIRECT(CELL("address")),S345)),MAX($R$1:R344)+1,0)</f>
        <v>344</v>
      </c>
      <c r="S345" s="18" t="str">
        <f>Table1[[#This Row],[Portico_Specialty]]&amp;"-"&amp;Table1[[#This Row],[Code]]</f>
        <v>Licensed Psychiatric Technician-167G00000X</v>
      </c>
      <c r="U345" s="16" t="str">
        <f ca="1">IFERROR(VLOOKUP(ROWS($U$1:U344),$R$2:$S$918,2,FALSE),"")</f>
        <v>Licensed Psychiatric Technician-167G00000X</v>
      </c>
    </row>
    <row r="346" spans="1:21" x14ac:dyDescent="0.3">
      <c r="A346" s="21" t="s">
        <v>2616</v>
      </c>
      <c r="B346" s="21" t="str">
        <f>Table1[[#This Row],[Code]]&amp;" "&amp;Table1[[#This Row],[Portico_Specialty]]</f>
        <v>AltSpec1 Licensed Social Worker - HCBS</v>
      </c>
      <c r="C346" s="21" t="str">
        <f>CLEAN(Table1[[#This Row],[Code]])</f>
        <v>AltSpec1</v>
      </c>
      <c r="D346" s="1" t="s">
        <v>2774</v>
      </c>
      <c r="E346" s="1"/>
      <c r="F346" s="1" t="s">
        <v>2587</v>
      </c>
      <c r="G346" s="3" t="s">
        <v>2588</v>
      </c>
      <c r="H346" s="1"/>
      <c r="I346" s="1"/>
      <c r="J346" s="1"/>
      <c r="K346" s="1" t="s">
        <v>2775</v>
      </c>
      <c r="L346" s="1"/>
      <c r="M346" s="1"/>
      <c r="N346" s="1"/>
      <c r="O346" s="1"/>
      <c r="P346" s="9"/>
      <c r="R346" s="16">
        <f ca="1">IF(ISNUMBER(SEARCH(INDIRECT(CELL("address")),S346)),MAX($R$1:R345)+1,0)</f>
        <v>345</v>
      </c>
      <c r="S346" s="18" t="str">
        <f>Table1[[#This Row],[Portico_Specialty]]&amp;"-"&amp;Table1[[#This Row],[Code]]</f>
        <v>Licensed Social Worker - HCBS-AltSpec1</v>
      </c>
      <c r="U346" s="16" t="str">
        <f ca="1">IFERROR(VLOOKUP(ROWS($U$1:U345),$R$2:$S$918,2,FALSE),"")</f>
        <v>Licensed Social Worker - HCBS-AltSpec1</v>
      </c>
    </row>
    <row r="347" spans="1:21" x14ac:dyDescent="0.3">
      <c r="A347" s="21" t="s">
        <v>2616</v>
      </c>
      <c r="B347" s="21" t="str">
        <f>Table1[[#This Row],[Code]]&amp;" "&amp;Table1[[#This Row],[Portico_Specialty]]</f>
        <v>AltSpec1 Licensed Social Worker Dual 399</v>
      </c>
      <c r="C347" s="21" t="str">
        <f>CLEAN(Table1[[#This Row],[Code]])</f>
        <v>AltSpec1</v>
      </c>
      <c r="D347" s="1" t="s">
        <v>2776</v>
      </c>
      <c r="E347" s="1"/>
      <c r="F347" s="1" t="s">
        <v>2587</v>
      </c>
      <c r="G347" s="3" t="s">
        <v>2588</v>
      </c>
      <c r="H347" s="1"/>
      <c r="I347" s="1"/>
      <c r="J347" s="1"/>
      <c r="K347" s="1" t="s">
        <v>2777</v>
      </c>
      <c r="L347" s="1"/>
      <c r="M347" s="1"/>
      <c r="N347" s="1"/>
      <c r="O347" s="1"/>
      <c r="P347" s="9"/>
      <c r="R347" s="16">
        <f ca="1">IF(ISNUMBER(SEARCH(INDIRECT(CELL("address")),S347)),MAX($R$1:R346)+1,0)</f>
        <v>346</v>
      </c>
      <c r="S347" s="18" t="str">
        <f>Table1[[#This Row],[Portico_Specialty]]&amp;"-"&amp;Table1[[#This Row],[Code]]</f>
        <v>Licensed Social Worker Dual 399-AltSpec1</v>
      </c>
      <c r="U347" s="16" t="str">
        <f ca="1">IFERROR(VLOOKUP(ROWS($U$1:U346),$R$2:$S$918,2,FALSE),"")</f>
        <v>Licensed Social Worker Dual 399-AltSpec1</v>
      </c>
    </row>
    <row r="348" spans="1:21" x14ac:dyDescent="0.3">
      <c r="A348" s="21" t="s">
        <v>2616</v>
      </c>
      <c r="B348" s="21" t="str">
        <f>Table1[[#This Row],[Code]]&amp;" "&amp;Table1[[#This Row],[Portico_Specialty]]</f>
        <v>AltSpec1 Licensed Social Worker Dual 699</v>
      </c>
      <c r="C348" s="21" t="str">
        <f>CLEAN(Table1[[#This Row],[Code]])</f>
        <v>AltSpec1</v>
      </c>
      <c r="D348" s="1" t="s">
        <v>2778</v>
      </c>
      <c r="E348" s="1"/>
      <c r="F348" s="1" t="s">
        <v>2587</v>
      </c>
      <c r="G348" s="3" t="s">
        <v>2588</v>
      </c>
      <c r="H348" s="1"/>
      <c r="I348" s="1"/>
      <c r="J348" s="1"/>
      <c r="K348" s="1" t="s">
        <v>2779</v>
      </c>
      <c r="L348" s="1"/>
      <c r="M348" s="1"/>
      <c r="N348" s="1"/>
      <c r="O348" s="1"/>
      <c r="P348" s="9"/>
      <c r="R348" s="16">
        <f ca="1">IF(ISNUMBER(SEARCH(INDIRECT(CELL("address")),S348)),MAX($R$1:R347)+1,0)</f>
        <v>347</v>
      </c>
      <c r="S348" s="18" t="str">
        <f>Table1[[#This Row],[Portico_Specialty]]&amp;"-"&amp;Table1[[#This Row],[Code]]</f>
        <v>Licensed Social Worker Dual 699-AltSpec1</v>
      </c>
      <c r="U348" s="16" t="str">
        <f ca="1">IFERROR(VLOOKUP(ROWS($U$1:U347),$R$2:$S$918,2,FALSE),"")</f>
        <v>Licensed Social Worker Dual 699-AltSpec1</v>
      </c>
    </row>
    <row r="349" spans="1:21" x14ac:dyDescent="0.3">
      <c r="A349" s="21" t="s">
        <v>435</v>
      </c>
      <c r="B349" s="21" t="str">
        <f>Table1[[#This Row],[Code]]&amp;" "&amp;Table1[[#This Row],[Portico_Specialty]]</f>
        <v>164X00000X Licensed Vocational Nurse</v>
      </c>
      <c r="C349" s="21" t="str">
        <f>CLEAN(Table1[[#This Row],[Code]])</f>
        <v>164X00000X</v>
      </c>
      <c r="D349" s="1" t="s">
        <v>436</v>
      </c>
      <c r="E349" s="1"/>
      <c r="F349" s="1" t="s">
        <v>2587</v>
      </c>
      <c r="G349" s="3" t="s">
        <v>2588</v>
      </c>
      <c r="H349" s="1" t="s">
        <v>2758</v>
      </c>
      <c r="I349" s="1"/>
      <c r="J349" s="1" t="s">
        <v>2758</v>
      </c>
      <c r="K349" s="1" t="s">
        <v>2759</v>
      </c>
      <c r="L349" s="1" t="s">
        <v>2758</v>
      </c>
      <c r="M349" s="1" t="s">
        <v>2758</v>
      </c>
      <c r="N349" s="1" t="s">
        <v>2758</v>
      </c>
      <c r="O349" s="1" t="s">
        <v>2759</v>
      </c>
      <c r="P349" s="9"/>
      <c r="R349" s="16">
        <f ca="1">IF(ISNUMBER(SEARCH(INDIRECT(CELL("address")),S349)),MAX($R$1:R348)+1,0)</f>
        <v>348</v>
      </c>
      <c r="S349" s="18" t="str">
        <f>Table1[[#This Row],[Portico_Specialty]]&amp;"-"&amp;Table1[[#This Row],[Code]]</f>
        <v>Licensed Vocational Nurse-164X00000X</v>
      </c>
      <c r="U349" s="16" t="str">
        <f ca="1">IFERROR(VLOOKUP(ROWS($U$1:U348),$R$2:$S$918,2,FALSE),"")</f>
        <v>Licensed Vocational Nurse-164X00000X</v>
      </c>
    </row>
    <row r="350" spans="1:21" x14ac:dyDescent="0.3">
      <c r="A350" s="21" t="s">
        <v>1329</v>
      </c>
      <c r="B350" s="21" t="str">
        <f>Table1[[#This Row],[Code]]&amp;" "&amp;Table1[[#This Row],[Portico_Specialty]]</f>
        <v>251300000X Local Education Agency (LEA)</v>
      </c>
      <c r="C350" s="21" t="str">
        <f>CLEAN(Table1[[#This Row],[Code]])</f>
        <v>251300000X</v>
      </c>
      <c r="D350" s="1" t="s">
        <v>1330</v>
      </c>
      <c r="E350" s="1"/>
      <c r="F350" s="1" t="s">
        <v>2587</v>
      </c>
      <c r="G350" s="3" t="s">
        <v>2588</v>
      </c>
      <c r="H350" s="1" t="s">
        <v>2591</v>
      </c>
      <c r="I350" s="1"/>
      <c r="J350" s="1" t="s">
        <v>2590</v>
      </c>
      <c r="K350" s="1" t="s">
        <v>2621</v>
      </c>
      <c r="L350" s="1"/>
      <c r="M350" s="1"/>
      <c r="N350" s="1"/>
      <c r="O350" s="1" t="s">
        <v>2621</v>
      </c>
      <c r="P350" s="9"/>
      <c r="R350" s="16">
        <f ca="1">IF(ISNUMBER(SEARCH(INDIRECT(CELL("address")),S350)),MAX($R$1:R349)+1,0)</f>
        <v>349</v>
      </c>
      <c r="S350" s="18" t="str">
        <f>Table1[[#This Row],[Portico_Specialty]]&amp;"-"&amp;Table1[[#This Row],[Code]]</f>
        <v>Local Education Agency (LEA)-251300000X</v>
      </c>
      <c r="U350" s="16" t="str">
        <f ca="1">IFERROR(VLOOKUP(ROWS($U$1:U349),$R$2:$S$918,2,FALSE),"")</f>
        <v>Local Education Agency (LEA)-251300000X</v>
      </c>
    </row>
    <row r="351" spans="1:21" x14ac:dyDescent="0.3">
      <c r="A351" s="21" t="s">
        <v>511</v>
      </c>
      <c r="B351" s="21" t="str">
        <f>Table1[[#This Row],[Code]]&amp;" "&amp;Table1[[#This Row],[Portico_Specialty]]</f>
        <v>177F00000X Lodging</v>
      </c>
      <c r="C351" s="21" t="str">
        <f>CLEAN(Table1[[#This Row],[Code]])</f>
        <v>177F00000X</v>
      </c>
      <c r="D351" s="1" t="s">
        <v>512</v>
      </c>
      <c r="E351" s="1"/>
      <c r="F351" s="1" t="s">
        <v>2587</v>
      </c>
      <c r="G351" s="3" t="s">
        <v>2588</v>
      </c>
      <c r="H351" s="1" t="s">
        <v>2621</v>
      </c>
      <c r="I351" s="1"/>
      <c r="J351" s="1" t="s">
        <v>2780</v>
      </c>
      <c r="K351" s="1" t="s">
        <v>2590</v>
      </c>
      <c r="L351" s="1" t="s">
        <v>2621</v>
      </c>
      <c r="M351" s="1" t="s">
        <v>2780</v>
      </c>
      <c r="N351" s="1"/>
      <c r="O351" s="1" t="s">
        <v>2590</v>
      </c>
      <c r="P351" s="9"/>
      <c r="R351" s="16">
        <f ca="1">IF(ISNUMBER(SEARCH(INDIRECT(CELL("address")),S351)),MAX($R$1:R350)+1,0)</f>
        <v>350</v>
      </c>
      <c r="S351" s="18" t="str">
        <f>Table1[[#This Row],[Portico_Specialty]]&amp;"-"&amp;Table1[[#This Row],[Code]]</f>
        <v>Lodging-177F00000X</v>
      </c>
      <c r="U351" s="16" t="str">
        <f ca="1">IFERROR(VLOOKUP(ROWS($U$1:U350),$R$2:$S$918,2,FALSE),"")</f>
        <v>Lodging-177F00000X</v>
      </c>
    </row>
    <row r="352" spans="1:21" x14ac:dyDescent="0.3">
      <c r="A352" s="21" t="s">
        <v>1499</v>
      </c>
      <c r="B352" s="21" t="str">
        <f>Table1[[#This Row],[Code]]&amp;" "&amp;Table1[[#This Row],[Portico_Specialty]]</f>
        <v>282E00000X Long Term Care Hospital</v>
      </c>
      <c r="C352" s="21" t="str">
        <f>CLEAN(Table1[[#This Row],[Code]])</f>
        <v>282E00000X</v>
      </c>
      <c r="D352" s="1" t="s">
        <v>1500</v>
      </c>
      <c r="E352" s="1"/>
      <c r="F352" s="1" t="s">
        <v>2587</v>
      </c>
      <c r="G352" s="4" t="s">
        <v>2593</v>
      </c>
      <c r="H352" s="1" t="s">
        <v>2642</v>
      </c>
      <c r="I352" s="1"/>
      <c r="J352" s="1" t="s">
        <v>2642</v>
      </c>
      <c r="K352" s="1" t="s">
        <v>2642</v>
      </c>
      <c r="L352" s="1" t="s">
        <v>2642</v>
      </c>
      <c r="M352" s="1" t="s">
        <v>2642</v>
      </c>
      <c r="N352" s="1" t="s">
        <v>2643</v>
      </c>
      <c r="O352" s="1" t="s">
        <v>2642</v>
      </c>
      <c r="P352" s="9"/>
      <c r="R352" s="16">
        <f ca="1">IF(ISNUMBER(SEARCH(INDIRECT(CELL("address")),S352)),MAX($R$1:R351)+1,0)</f>
        <v>351</v>
      </c>
      <c r="S352" s="18" t="str">
        <f>Table1[[#This Row],[Portico_Specialty]]&amp;"-"&amp;Table1[[#This Row],[Code]]</f>
        <v>Long Term Care Hospital-282E00000X</v>
      </c>
      <c r="U352" s="16" t="str">
        <f ca="1">IFERROR(VLOOKUP(ROWS($U$1:U351),$R$2:$S$918,2,FALSE),"")</f>
        <v>Long Term Care Hospital-282E00000X</v>
      </c>
    </row>
    <row r="353" spans="1:21" x14ac:dyDescent="0.3">
      <c r="A353" s="21" t="s">
        <v>196</v>
      </c>
      <c r="B353" s="21" t="str">
        <f>Table1[[#This Row],[Code]]&amp;" "&amp;Table1[[#This Row],[Portico_Specialty]]</f>
        <v>106H00000X Marriage &amp; Family Therapist</v>
      </c>
      <c r="C353" s="21" t="str">
        <f>CLEAN(Table1[[#This Row],[Code]])</f>
        <v>106H00000X</v>
      </c>
      <c r="D353" s="1" t="s">
        <v>197</v>
      </c>
      <c r="E353" s="1" t="s">
        <v>2690</v>
      </c>
      <c r="F353" s="1" t="s">
        <v>2607</v>
      </c>
      <c r="G353" s="3" t="s">
        <v>2588</v>
      </c>
      <c r="H353" s="1" t="s">
        <v>2612</v>
      </c>
      <c r="I353" s="1"/>
      <c r="J353" s="1" t="s">
        <v>2612</v>
      </c>
      <c r="K353" s="1" t="s">
        <v>2612</v>
      </c>
      <c r="L353" s="1" t="s">
        <v>2612</v>
      </c>
      <c r="M353" s="1" t="s">
        <v>2612</v>
      </c>
      <c r="N353" s="1" t="s">
        <v>2612</v>
      </c>
      <c r="O353" s="1" t="s">
        <v>2612</v>
      </c>
      <c r="P353" s="9"/>
      <c r="R353" s="16">
        <f ca="1">IF(ISNUMBER(SEARCH(INDIRECT(CELL("address")),S353)),MAX($R$1:R352)+1,0)</f>
        <v>352</v>
      </c>
      <c r="S353" s="18" t="str">
        <f>Table1[[#This Row],[Portico_Specialty]]&amp;"-"&amp;Table1[[#This Row],[Code]]</f>
        <v>Marriage &amp; Family Therapist-106H00000X</v>
      </c>
      <c r="U353" s="16" t="str">
        <f ca="1">IFERROR(VLOOKUP(ROWS($U$1:U352),$R$2:$S$918,2,FALSE),"")</f>
        <v>Marriage &amp; Family Therapist-106H00000X</v>
      </c>
    </row>
    <row r="354" spans="1:21" x14ac:dyDescent="0.3">
      <c r="A354" s="21" t="s">
        <v>2616</v>
      </c>
      <c r="B354" s="21" t="str">
        <f>Table1[[#This Row],[Code]]&amp;" "&amp;Table1[[#This Row],[Portico_Specialty]]</f>
        <v>AltSpec1 Marriage/Family Counselor Trainee - HCBS</v>
      </c>
      <c r="C354" s="21" t="str">
        <f>CLEAN(Table1[[#This Row],[Code]])</f>
        <v>AltSpec1</v>
      </c>
      <c r="D354" s="1" t="s">
        <v>2781</v>
      </c>
      <c r="E354" s="1"/>
      <c r="F354" s="1" t="s">
        <v>2587</v>
      </c>
      <c r="G354" s="3" t="s">
        <v>2588</v>
      </c>
      <c r="H354" s="1"/>
      <c r="I354" s="1"/>
      <c r="J354" s="1"/>
      <c r="K354" s="1" t="s">
        <v>2782</v>
      </c>
      <c r="L354" s="1"/>
      <c r="M354" s="1"/>
      <c r="N354" s="1"/>
      <c r="O354" s="1"/>
      <c r="P354" s="9"/>
      <c r="R354" s="16">
        <f ca="1">IF(ISNUMBER(SEARCH(INDIRECT(CELL("address")),S354)),MAX($R$1:R353)+1,0)</f>
        <v>353</v>
      </c>
      <c r="S354" s="18" t="str">
        <f>Table1[[#This Row],[Portico_Specialty]]&amp;"-"&amp;Table1[[#This Row],[Code]]</f>
        <v>Marriage/Family Counselor Trainee - HCBS-AltSpec1</v>
      </c>
      <c r="U354" s="16" t="str">
        <f ca="1">IFERROR(VLOOKUP(ROWS($U$1:U353),$R$2:$S$918,2,FALSE),"")</f>
        <v>Marriage/Family Counselor Trainee - HCBS-AltSpec1</v>
      </c>
    </row>
    <row r="355" spans="1:21" x14ac:dyDescent="0.3">
      <c r="A355" s="21" t="s">
        <v>2616</v>
      </c>
      <c r="B355" s="21" t="str">
        <f>Table1[[#This Row],[Code]]&amp;" "&amp;Table1[[#This Row],[Portico_Specialty]]</f>
        <v>AltSpec1 Marriage/Family Counselor Trainee Dual 399</v>
      </c>
      <c r="C355" s="21" t="str">
        <f>CLEAN(Table1[[#This Row],[Code]])</f>
        <v>AltSpec1</v>
      </c>
      <c r="D355" s="1" t="s">
        <v>2783</v>
      </c>
      <c r="E355" s="1"/>
      <c r="F355" s="1" t="s">
        <v>2587</v>
      </c>
      <c r="G355" s="3" t="s">
        <v>2588</v>
      </c>
      <c r="H355" s="1"/>
      <c r="I355" s="1"/>
      <c r="J355" s="1"/>
      <c r="K355" s="1" t="s">
        <v>2784</v>
      </c>
      <c r="L355" s="1"/>
      <c r="M355" s="1"/>
      <c r="N355" s="1"/>
      <c r="O355" s="1"/>
      <c r="P355" s="9"/>
      <c r="R355" s="16">
        <f ca="1">IF(ISNUMBER(SEARCH(INDIRECT(CELL("address")),S355)),MAX($R$1:R354)+1,0)</f>
        <v>354</v>
      </c>
      <c r="S355" s="18" t="str">
        <f>Table1[[#This Row],[Portico_Specialty]]&amp;"-"&amp;Table1[[#This Row],[Code]]</f>
        <v>Marriage/Family Counselor Trainee Dual 399-AltSpec1</v>
      </c>
      <c r="U355" s="16" t="str">
        <f ca="1">IFERROR(VLOOKUP(ROWS($U$1:U354),$R$2:$S$918,2,FALSE),"")</f>
        <v>Marriage/Family Counselor Trainee Dual 399-AltSpec1</v>
      </c>
    </row>
    <row r="356" spans="1:21" x14ac:dyDescent="0.3">
      <c r="A356" s="21" t="s">
        <v>2616</v>
      </c>
      <c r="B356" s="21" t="str">
        <f>Table1[[#This Row],[Code]]&amp;" "&amp;Table1[[#This Row],[Portico_Specialty]]</f>
        <v>AltSpec1 Marriage/Family Counselor Trainee Dual 699</v>
      </c>
      <c r="C356" s="21" t="str">
        <f>CLEAN(Table1[[#This Row],[Code]])</f>
        <v>AltSpec1</v>
      </c>
      <c r="D356" s="1" t="s">
        <v>2785</v>
      </c>
      <c r="E356" s="1"/>
      <c r="F356" s="1" t="s">
        <v>2587</v>
      </c>
      <c r="G356" s="3" t="s">
        <v>2588</v>
      </c>
      <c r="H356" s="1"/>
      <c r="I356" s="1"/>
      <c r="J356" s="1"/>
      <c r="K356" s="1" t="s">
        <v>2786</v>
      </c>
      <c r="L356" s="1"/>
      <c r="M356" s="1"/>
      <c r="N356" s="1"/>
      <c r="O356" s="1"/>
      <c r="P356" s="9"/>
      <c r="R356" s="16">
        <f ca="1">IF(ISNUMBER(SEARCH(INDIRECT(CELL("address")),S356)),MAX($R$1:R355)+1,0)</f>
        <v>355</v>
      </c>
      <c r="S356" s="18" t="str">
        <f>Table1[[#This Row],[Portico_Specialty]]&amp;"-"&amp;Table1[[#This Row],[Code]]</f>
        <v>Marriage/Family Counselor Trainee Dual 699-AltSpec1</v>
      </c>
      <c r="U356" s="16" t="str">
        <f ca="1">IFERROR(VLOOKUP(ROWS($U$1:U355),$R$2:$S$918,2,FALSE),"")</f>
        <v>Marriage/Family Counselor Trainee Dual 699-AltSpec1</v>
      </c>
    </row>
    <row r="357" spans="1:21" x14ac:dyDescent="0.3">
      <c r="A357" s="21" t="s">
        <v>1075</v>
      </c>
      <c r="B357" s="21" t="str">
        <f>Table1[[#This Row],[Code]]&amp;" "&amp;Table1[[#This Row],[Portico_Specialty]]</f>
        <v>225700000X Massage Therapist</v>
      </c>
      <c r="C357" s="21" t="str">
        <f>CLEAN(Table1[[#This Row],[Code]])</f>
        <v>225700000X</v>
      </c>
      <c r="D357" s="1" t="s">
        <v>1076</v>
      </c>
      <c r="E357" s="1"/>
      <c r="F357" s="1" t="s">
        <v>2587</v>
      </c>
      <c r="G357" s="3" t="s">
        <v>2588</v>
      </c>
      <c r="H357" s="1" t="s">
        <v>2600</v>
      </c>
      <c r="I357" s="1"/>
      <c r="J357" s="1" t="s">
        <v>2787</v>
      </c>
      <c r="K357" s="1" t="s">
        <v>2600</v>
      </c>
      <c r="L357" s="1" t="s">
        <v>2787</v>
      </c>
      <c r="M357" s="1" t="s">
        <v>2787</v>
      </c>
      <c r="N357" s="1" t="s">
        <v>2788</v>
      </c>
      <c r="O357" s="1" t="s">
        <v>2600</v>
      </c>
      <c r="P357" s="9"/>
      <c r="R357" s="16">
        <f ca="1">IF(ISNUMBER(SEARCH(INDIRECT(CELL("address")),S357)),MAX($R$1:R356)+1,0)</f>
        <v>356</v>
      </c>
      <c r="S357" s="18" t="str">
        <f>Table1[[#This Row],[Portico_Specialty]]&amp;"-"&amp;Table1[[#This Row],[Code]]</f>
        <v>Massage Therapist-225700000X</v>
      </c>
      <c r="U357" s="16" t="str">
        <f ca="1">IFERROR(VLOOKUP(ROWS($U$1:U356),$R$2:$S$918,2,FALSE),"")</f>
        <v>Massage Therapist-225700000X</v>
      </c>
    </row>
    <row r="358" spans="1:21" x14ac:dyDescent="0.3">
      <c r="A358" s="21" t="s">
        <v>1021</v>
      </c>
      <c r="B358" s="21" t="str">
        <f>Table1[[#This Row],[Code]]&amp;" "&amp;Table1[[#This Row],[Portico_Specialty]]</f>
        <v>224900000X Mastectomy Fitter</v>
      </c>
      <c r="C358" s="21" t="str">
        <f>CLEAN(Table1[[#This Row],[Code]])</f>
        <v>224900000X</v>
      </c>
      <c r="D358" s="1" t="s">
        <v>1022</v>
      </c>
      <c r="E358" s="1"/>
      <c r="F358" s="1" t="s">
        <v>2587</v>
      </c>
      <c r="G358" s="3" t="s">
        <v>2588</v>
      </c>
      <c r="H358" s="1" t="s">
        <v>2615</v>
      </c>
      <c r="I358" s="1"/>
      <c r="J358" s="1" t="s">
        <v>2590</v>
      </c>
      <c r="K358" s="1" t="s">
        <v>2657</v>
      </c>
      <c r="L358" s="1" t="s">
        <v>2698</v>
      </c>
      <c r="M358" s="1"/>
      <c r="N358" s="1"/>
      <c r="O358" s="1" t="s">
        <v>2657</v>
      </c>
      <c r="P358" s="9"/>
      <c r="R358" s="16">
        <f ca="1">IF(ISNUMBER(SEARCH(INDIRECT(CELL("address")),S358)),MAX($R$1:R357)+1,0)</f>
        <v>357</v>
      </c>
      <c r="S358" s="18" t="str">
        <f>Table1[[#This Row],[Portico_Specialty]]&amp;"-"&amp;Table1[[#This Row],[Code]]</f>
        <v>Mastectomy Fitter-224900000X</v>
      </c>
      <c r="U358" s="16" t="str">
        <f ca="1">IFERROR(VLOOKUP(ROWS($U$1:U357),$R$2:$S$918,2,FALSE),"")</f>
        <v>Mastectomy Fitter-224900000X</v>
      </c>
    </row>
    <row r="359" spans="1:21" x14ac:dyDescent="0.3">
      <c r="A359" s="21" t="s">
        <v>477</v>
      </c>
      <c r="B359" s="21" t="str">
        <f>Table1[[#This Row],[Code]]&amp;" "&amp;Table1[[#This Row],[Portico_Specialty]]</f>
        <v>174200000X Meals</v>
      </c>
      <c r="C359" s="21" t="str">
        <f>CLEAN(Table1[[#This Row],[Code]])</f>
        <v>174200000X</v>
      </c>
      <c r="D359" s="1" t="s">
        <v>478</v>
      </c>
      <c r="E359" s="1"/>
      <c r="F359" s="1" t="s">
        <v>2587</v>
      </c>
      <c r="G359" s="3" t="s">
        <v>2588</v>
      </c>
      <c r="H359" s="1"/>
      <c r="I359" s="1"/>
      <c r="J359" s="1" t="s">
        <v>2789</v>
      </c>
      <c r="K359" s="1" t="s">
        <v>2590</v>
      </c>
      <c r="L359" s="1" t="s">
        <v>2789</v>
      </c>
      <c r="M359" s="1" t="s">
        <v>2789</v>
      </c>
      <c r="N359" s="1"/>
      <c r="O359" s="1" t="s">
        <v>2590</v>
      </c>
      <c r="P359" s="9"/>
      <c r="R359" s="16">
        <f ca="1">IF(ISNUMBER(SEARCH(INDIRECT(CELL("address")),S359)),MAX($R$1:R358)+1,0)</f>
        <v>358</v>
      </c>
      <c r="S359" s="18" t="str">
        <f>Table1[[#This Row],[Portico_Specialty]]&amp;"-"&amp;Table1[[#This Row],[Code]]</f>
        <v>Meals-174200000X</v>
      </c>
      <c r="U359" s="16" t="str">
        <f ca="1">IFERROR(VLOOKUP(ROWS($U$1:U358),$R$2:$S$918,2,FALSE),"")</f>
        <v>Meals-174200000X</v>
      </c>
    </row>
    <row r="360" spans="1:21" x14ac:dyDescent="0.3">
      <c r="A360" s="21" t="s">
        <v>465</v>
      </c>
      <c r="B360" s="21" t="str">
        <f>Table1[[#This Row],[Code]]&amp;" "&amp;Table1[[#This Row],[Portico_Specialty]]</f>
        <v>172M00000X Mechanotherapist</v>
      </c>
      <c r="C360" s="21" t="str">
        <f>CLEAN(Table1[[#This Row],[Code]])</f>
        <v>172M00000X</v>
      </c>
      <c r="D360" s="1" t="s">
        <v>466</v>
      </c>
      <c r="E360" s="1"/>
      <c r="F360" s="1" t="s">
        <v>2587</v>
      </c>
      <c r="G360" s="3" t="s">
        <v>2588</v>
      </c>
      <c r="H360" s="1" t="s">
        <v>2615</v>
      </c>
      <c r="I360" s="1"/>
      <c r="J360" s="1" t="s">
        <v>2590</v>
      </c>
      <c r="K360" s="1" t="s">
        <v>2790</v>
      </c>
      <c r="L360" s="1" t="s">
        <v>2615</v>
      </c>
      <c r="M360" s="1" t="s">
        <v>2615</v>
      </c>
      <c r="N360" s="1"/>
      <c r="O360" s="1" t="s">
        <v>2790</v>
      </c>
      <c r="P360" s="9"/>
      <c r="R360" s="16">
        <f ca="1">IF(ISNUMBER(SEARCH(INDIRECT(CELL("address")),S360)),MAX($R$1:R359)+1,0)</f>
        <v>359</v>
      </c>
      <c r="S360" s="18" t="str">
        <f>Table1[[#This Row],[Portico_Specialty]]&amp;"-"&amp;Table1[[#This Row],[Code]]</f>
        <v>Mechanotherapist-172M00000X</v>
      </c>
      <c r="U360" s="16" t="str">
        <f ca="1">IFERROR(VLOOKUP(ROWS($U$1:U359),$R$2:$S$918,2,FALSE),"")</f>
        <v>Mechanotherapist-172M00000X</v>
      </c>
    </row>
    <row r="361" spans="1:21" x14ac:dyDescent="0.3">
      <c r="A361" s="21" t="s">
        <v>1645</v>
      </c>
      <c r="B361" s="21" t="str">
        <f>Table1[[#This Row],[Code]]&amp;" "&amp;Table1[[#This Row],[Portico_Specialty]]</f>
        <v>335G00000X Medical Foods Supplier</v>
      </c>
      <c r="C361" s="21" t="str">
        <f>CLEAN(Table1[[#This Row],[Code]])</f>
        <v>335G00000X</v>
      </c>
      <c r="D361" s="1" t="s">
        <v>1646</v>
      </c>
      <c r="E361" s="1"/>
      <c r="F361" s="1" t="s">
        <v>2587</v>
      </c>
      <c r="G361" s="3" t="s">
        <v>2588</v>
      </c>
      <c r="H361" s="1"/>
      <c r="I361" s="1"/>
      <c r="J361" s="1" t="s">
        <v>2590</v>
      </c>
      <c r="K361" s="1" t="s">
        <v>2590</v>
      </c>
      <c r="L361" s="1"/>
      <c r="M361" s="1"/>
      <c r="N361" s="1"/>
      <c r="O361" s="1" t="s">
        <v>2590</v>
      </c>
      <c r="P361" s="9"/>
      <c r="R361" s="16">
        <f ca="1">IF(ISNUMBER(SEARCH(INDIRECT(CELL("address")),S361)),MAX($R$1:R360)+1,0)</f>
        <v>360</v>
      </c>
      <c r="S361" s="18" t="str">
        <f>Table1[[#This Row],[Portico_Specialty]]&amp;"-"&amp;Table1[[#This Row],[Code]]</f>
        <v>Medical Foods Supplier-335G00000X</v>
      </c>
      <c r="U361" s="16" t="str">
        <f ca="1">IFERROR(VLOOKUP(ROWS($U$1:U360),$R$2:$S$918,2,FALSE),"")</f>
        <v>Medical Foods Supplier-335G00000X</v>
      </c>
    </row>
    <row r="362" spans="1:21" x14ac:dyDescent="0.3">
      <c r="A362" s="21" t="s">
        <v>439</v>
      </c>
      <c r="B362" s="21" t="str">
        <f>Table1[[#This Row],[Code]]&amp;" "&amp;Table1[[#This Row],[Portico_Specialty]]</f>
        <v>170100000X Medical Genetics, Ph.D. Medical Genetics</v>
      </c>
      <c r="C362" s="21" t="str">
        <f>CLEAN(Table1[[#This Row],[Code]])</f>
        <v>170100000X</v>
      </c>
      <c r="D362" s="1" t="s">
        <v>440</v>
      </c>
      <c r="E362" s="1"/>
      <c r="F362" s="1" t="s">
        <v>2587</v>
      </c>
      <c r="G362" s="3" t="s">
        <v>2588</v>
      </c>
      <c r="H362" s="1" t="s">
        <v>2650</v>
      </c>
      <c r="I362" s="1"/>
      <c r="J362" s="1" t="s">
        <v>2791</v>
      </c>
      <c r="K362" s="1" t="s">
        <v>2650</v>
      </c>
      <c r="L362" s="1" t="s">
        <v>2650</v>
      </c>
      <c r="M362" s="1" t="s">
        <v>2791</v>
      </c>
      <c r="N362" s="1"/>
      <c r="O362" s="1" t="s">
        <v>2650</v>
      </c>
      <c r="P362" s="9"/>
      <c r="R362" s="16">
        <f ca="1">IF(ISNUMBER(SEARCH(INDIRECT(CELL("address")),S362)),MAX($R$1:R361)+1,0)</f>
        <v>361</v>
      </c>
      <c r="S362" s="18" t="str">
        <f>Table1[[#This Row],[Portico_Specialty]]&amp;"-"&amp;Table1[[#This Row],[Code]]</f>
        <v>Medical Genetics, Ph.D. Medical Genetics-170100000X</v>
      </c>
      <c r="U362" s="16" t="str">
        <f ca="1">IFERROR(VLOOKUP(ROWS($U$1:U361),$R$2:$S$918,2,FALSE),"")</f>
        <v>Medical Genetics, Ph.D. Medical Genetics-170100000X</v>
      </c>
    </row>
    <row r="363" spans="1:21" ht="30.75" x14ac:dyDescent="0.3">
      <c r="A363" s="21" t="s">
        <v>681</v>
      </c>
      <c r="B363" s="21" t="str">
        <f>Table1[[#This Row],[Code]]&amp;" "&amp;Table1[[#This Row],[Portico_Specialty]]</f>
        <v>207SG0202X Medical Genetics: Clinical Biochemical Genetics</v>
      </c>
      <c r="C363" s="21" t="str">
        <f>CLEAN(Table1[[#This Row],[Code]])</f>
        <v>207SG0202X</v>
      </c>
      <c r="D363" s="1" t="s">
        <v>682</v>
      </c>
      <c r="E363" s="1"/>
      <c r="F363" s="1" t="s">
        <v>2587</v>
      </c>
      <c r="G363" s="3" t="s">
        <v>2588</v>
      </c>
      <c r="H363" s="1" t="s">
        <v>2650</v>
      </c>
      <c r="I363" s="1"/>
      <c r="J363" s="1" t="s">
        <v>2650</v>
      </c>
      <c r="K363" s="1" t="s">
        <v>2650</v>
      </c>
      <c r="L363" s="1" t="s">
        <v>2650</v>
      </c>
      <c r="M363" s="1" t="s">
        <v>2650</v>
      </c>
      <c r="N363" s="1" t="s">
        <v>2713</v>
      </c>
      <c r="O363" s="1" t="s">
        <v>2650</v>
      </c>
      <c r="P363" s="9"/>
      <c r="R363" s="16">
        <f ca="1">IF(ISNUMBER(SEARCH(INDIRECT(CELL("address")),S363)),MAX($R$1:R362)+1,0)</f>
        <v>362</v>
      </c>
      <c r="S363" s="18" t="str">
        <f>Table1[[#This Row],[Portico_Specialty]]&amp;"-"&amp;Table1[[#This Row],[Code]]</f>
        <v>Medical Genetics: Clinical Biochemical Genetics-207SG0202X</v>
      </c>
      <c r="U363" s="16" t="str">
        <f ca="1">IFERROR(VLOOKUP(ROWS($U$1:U362),$R$2:$S$918,2,FALSE),"")</f>
        <v>Medical Genetics: Clinical Biochemical Genetics-207SG0202X</v>
      </c>
    </row>
    <row r="364" spans="1:21" x14ac:dyDescent="0.3">
      <c r="A364" s="21" t="s">
        <v>677</v>
      </c>
      <c r="B364" s="21" t="str">
        <f>Table1[[#This Row],[Code]]&amp;" "&amp;Table1[[#This Row],[Portico_Specialty]]</f>
        <v>207SC0300X Medical Genetics: Clinical Cytogenetic</v>
      </c>
      <c r="C364" s="21" t="str">
        <f>CLEAN(Table1[[#This Row],[Code]])</f>
        <v>207SC0300X</v>
      </c>
      <c r="D364" s="1" t="s">
        <v>678</v>
      </c>
      <c r="E364" s="1"/>
      <c r="F364" s="1" t="s">
        <v>2587</v>
      </c>
      <c r="G364" s="3" t="s">
        <v>2588</v>
      </c>
      <c r="H364" s="1" t="s">
        <v>2650</v>
      </c>
      <c r="I364" s="1"/>
      <c r="J364" s="1" t="s">
        <v>2650</v>
      </c>
      <c r="K364" s="1" t="s">
        <v>2650</v>
      </c>
      <c r="L364" s="1" t="s">
        <v>2650</v>
      </c>
      <c r="M364" s="1" t="s">
        <v>2650</v>
      </c>
      <c r="N364" s="1" t="s">
        <v>2713</v>
      </c>
      <c r="O364" s="1" t="s">
        <v>2650</v>
      </c>
      <c r="P364" s="9"/>
      <c r="R364" s="16">
        <f ca="1">IF(ISNUMBER(SEARCH(INDIRECT(CELL("address")),S364)),MAX($R$1:R363)+1,0)</f>
        <v>363</v>
      </c>
      <c r="S364" s="18" t="str">
        <f>Table1[[#This Row],[Portico_Specialty]]&amp;"-"&amp;Table1[[#This Row],[Code]]</f>
        <v>Medical Genetics: Clinical Cytogenetic-207SC0300X</v>
      </c>
      <c r="U364" s="16" t="str">
        <f ca="1">IFERROR(VLOOKUP(ROWS($U$1:U363),$R$2:$S$918,2,FALSE),"")</f>
        <v>Medical Genetics: Clinical Cytogenetic-207SC0300X</v>
      </c>
    </row>
    <row r="365" spans="1:21" x14ac:dyDescent="0.3">
      <c r="A365" s="21" t="s">
        <v>679</v>
      </c>
      <c r="B365" s="21" t="str">
        <f>Table1[[#This Row],[Code]]&amp;" "&amp;Table1[[#This Row],[Portico_Specialty]]</f>
        <v>207SG0201X Medical Genetics: Clinical Genetics (M.D.)</v>
      </c>
      <c r="C365" s="21" t="str">
        <f>CLEAN(Table1[[#This Row],[Code]])</f>
        <v>207SG0201X</v>
      </c>
      <c r="D365" s="1" t="s">
        <v>680</v>
      </c>
      <c r="E365" s="1"/>
      <c r="F365" s="1" t="s">
        <v>2587</v>
      </c>
      <c r="G365" s="3" t="s">
        <v>2588</v>
      </c>
      <c r="H365" s="1" t="s">
        <v>2650</v>
      </c>
      <c r="I365" s="1"/>
      <c r="J365" s="1" t="s">
        <v>2650</v>
      </c>
      <c r="K365" s="1" t="s">
        <v>2650</v>
      </c>
      <c r="L365" s="1" t="s">
        <v>2650</v>
      </c>
      <c r="M365" s="1" t="s">
        <v>2650</v>
      </c>
      <c r="N365" s="1" t="s">
        <v>2713</v>
      </c>
      <c r="O365" s="1" t="s">
        <v>2650</v>
      </c>
      <c r="P365" s="9"/>
      <c r="R365" s="16">
        <f ca="1">IF(ISNUMBER(SEARCH(INDIRECT(CELL("address")),S365)),MAX($R$1:R364)+1,0)</f>
        <v>364</v>
      </c>
      <c r="S365" s="18" t="str">
        <f>Table1[[#This Row],[Portico_Specialty]]&amp;"-"&amp;Table1[[#This Row],[Code]]</f>
        <v>Medical Genetics: Clinical Genetics (M.D.)-207SG0201X</v>
      </c>
      <c r="U365" s="16" t="str">
        <f ca="1">IFERROR(VLOOKUP(ROWS($U$1:U364),$R$2:$S$918,2,FALSE),"")</f>
        <v>Medical Genetics: Clinical Genetics (M.D.)-207SG0201X</v>
      </c>
    </row>
    <row r="366" spans="1:21" ht="30.75" x14ac:dyDescent="0.3">
      <c r="A366" s="21" t="s">
        <v>683</v>
      </c>
      <c r="B366" s="21" t="str">
        <f>Table1[[#This Row],[Code]]&amp;" "&amp;Table1[[#This Row],[Portico_Specialty]]</f>
        <v>207SG0203X Medical Genetics: Clinical Molecular Genetics</v>
      </c>
      <c r="C366" s="21" t="str">
        <f>CLEAN(Table1[[#This Row],[Code]])</f>
        <v>207SG0203X</v>
      </c>
      <c r="D366" s="1" t="s">
        <v>684</v>
      </c>
      <c r="E366" s="1"/>
      <c r="F366" s="1" t="s">
        <v>2587</v>
      </c>
      <c r="G366" s="3" t="s">
        <v>2588</v>
      </c>
      <c r="H366" s="1" t="s">
        <v>2650</v>
      </c>
      <c r="I366" s="1"/>
      <c r="J366" s="1" t="s">
        <v>2650</v>
      </c>
      <c r="K366" s="1" t="s">
        <v>2650</v>
      </c>
      <c r="L366" s="1" t="s">
        <v>2650</v>
      </c>
      <c r="M366" s="1" t="s">
        <v>2650</v>
      </c>
      <c r="N366" s="1" t="s">
        <v>2713</v>
      </c>
      <c r="O366" s="1" t="s">
        <v>2650</v>
      </c>
      <c r="P366" s="9"/>
      <c r="R366" s="16">
        <f ca="1">IF(ISNUMBER(SEARCH(INDIRECT(CELL("address")),S366)),MAX($R$1:R365)+1,0)</f>
        <v>365</v>
      </c>
      <c r="S366" s="18" t="str">
        <f>Table1[[#This Row],[Portico_Specialty]]&amp;"-"&amp;Table1[[#This Row],[Code]]</f>
        <v>Medical Genetics: Clinical Molecular Genetics-207SG0203X</v>
      </c>
      <c r="U366" s="16" t="str">
        <f ca="1">IFERROR(VLOOKUP(ROWS($U$1:U365),$R$2:$S$918,2,FALSE),"")</f>
        <v>Medical Genetics: Clinical Molecular Genetics-207SG0203X</v>
      </c>
    </row>
    <row r="367" spans="1:21" ht="30.75" x14ac:dyDescent="0.3">
      <c r="A367" s="21" t="s">
        <v>687</v>
      </c>
      <c r="B367" s="21" t="str">
        <f>Table1[[#This Row],[Code]]&amp;" "&amp;Table1[[#This Row],[Portico_Specialty]]</f>
        <v>207SM0001X Medical Genetics: Molecular Genetic Pathology</v>
      </c>
      <c r="C367" s="21" t="str">
        <f>CLEAN(Table1[[#This Row],[Code]])</f>
        <v>207SM0001X</v>
      </c>
      <c r="D367" s="1" t="s">
        <v>688</v>
      </c>
      <c r="E367" s="1"/>
      <c r="F367" s="1" t="s">
        <v>2587</v>
      </c>
      <c r="G367" s="3" t="s">
        <v>2588</v>
      </c>
      <c r="H367" s="1" t="s">
        <v>2650</v>
      </c>
      <c r="I367" s="1"/>
      <c r="J367" s="1" t="s">
        <v>2650</v>
      </c>
      <c r="K367" s="1" t="s">
        <v>2650</v>
      </c>
      <c r="L367" s="1" t="s">
        <v>2650</v>
      </c>
      <c r="M367" s="1" t="s">
        <v>2650</v>
      </c>
      <c r="N367" s="1" t="s">
        <v>2713</v>
      </c>
      <c r="O367" s="1" t="s">
        <v>2650</v>
      </c>
      <c r="P367" s="9"/>
      <c r="R367" s="16">
        <f ca="1">IF(ISNUMBER(SEARCH(INDIRECT(CELL("address")),S367)),MAX($R$1:R366)+1,0)</f>
        <v>366</v>
      </c>
      <c r="S367" s="18" t="str">
        <f>Table1[[#This Row],[Portico_Specialty]]&amp;"-"&amp;Table1[[#This Row],[Code]]</f>
        <v>Medical Genetics: Molecular Genetic Pathology-207SM0001X</v>
      </c>
      <c r="U367" s="16" t="str">
        <f ca="1">IFERROR(VLOOKUP(ROWS($U$1:U366),$R$2:$S$918,2,FALSE),"")</f>
        <v>Medical Genetics: Molecular Genetic Pathology-207SM0001X</v>
      </c>
    </row>
    <row r="368" spans="1:21" x14ac:dyDescent="0.3">
      <c r="A368" s="21" t="s">
        <v>685</v>
      </c>
      <c r="B368" s="21" t="str">
        <f>Table1[[#This Row],[Code]]&amp;" "&amp;Table1[[#This Row],[Portico_Specialty]]</f>
        <v>207SG0205X Medical Genetics: Ph.D. Medical Genetics</v>
      </c>
      <c r="C368" s="21" t="str">
        <f>CLEAN(Table1[[#This Row],[Code]])</f>
        <v>207SG0205X</v>
      </c>
      <c r="D368" s="1" t="s">
        <v>686</v>
      </c>
      <c r="E368" s="1"/>
      <c r="F368" s="1" t="s">
        <v>2587</v>
      </c>
      <c r="G368" s="3" t="s">
        <v>2588</v>
      </c>
      <c r="H368" s="1" t="s">
        <v>2650</v>
      </c>
      <c r="I368" s="1"/>
      <c r="J368" s="1" t="s">
        <v>2650</v>
      </c>
      <c r="K368" s="1" t="s">
        <v>2650</v>
      </c>
      <c r="L368" s="1" t="s">
        <v>2650</v>
      </c>
      <c r="M368" s="1" t="s">
        <v>2650</v>
      </c>
      <c r="N368" s="1" t="s">
        <v>2713</v>
      </c>
      <c r="O368" s="1" t="s">
        <v>2650</v>
      </c>
      <c r="P368" s="9"/>
      <c r="R368" s="16">
        <f ca="1">IF(ISNUMBER(SEARCH(INDIRECT(CELL("address")),S368)),MAX($R$1:R367)+1,0)</f>
        <v>367</v>
      </c>
      <c r="S368" s="18" t="str">
        <f>Table1[[#This Row],[Portico_Specialty]]&amp;"-"&amp;Table1[[#This Row],[Code]]</f>
        <v>Medical Genetics: Ph.D. Medical Genetics-207SG0205X</v>
      </c>
      <c r="U368" s="16" t="str">
        <f ca="1">IFERROR(VLOOKUP(ROWS($U$1:U367),$R$2:$S$918,2,FALSE),"")</f>
        <v>Medical Genetics: Ph.D. Medical Genetics-207SG0205X</v>
      </c>
    </row>
    <row r="369" spans="1:21" x14ac:dyDescent="0.3">
      <c r="A369" s="21" t="s">
        <v>1491</v>
      </c>
      <c r="B369" s="21" t="str">
        <f>Table1[[#This Row],[Code]]&amp;" "&amp;Table1[[#This Row],[Portico_Specialty]]</f>
        <v>275N00000X Medicare Defined Swing Bed Unit</v>
      </c>
      <c r="C369" s="21" t="str">
        <f>CLEAN(Table1[[#This Row],[Code]])</f>
        <v>275N00000X</v>
      </c>
      <c r="D369" s="1" t="s">
        <v>1492</v>
      </c>
      <c r="E369" s="1"/>
      <c r="F369" s="1" t="s">
        <v>2587</v>
      </c>
      <c r="G369" s="4" t="s">
        <v>2593</v>
      </c>
      <c r="H369" s="1" t="s">
        <v>2642</v>
      </c>
      <c r="I369" s="1"/>
      <c r="J369" s="1" t="s">
        <v>2642</v>
      </c>
      <c r="K369" s="1" t="s">
        <v>2642</v>
      </c>
      <c r="L369" s="1" t="s">
        <v>2642</v>
      </c>
      <c r="M369" s="1" t="s">
        <v>2642</v>
      </c>
      <c r="N369" s="1" t="s">
        <v>2643</v>
      </c>
      <c r="O369" s="1" t="s">
        <v>2642</v>
      </c>
      <c r="P369" s="9"/>
      <c r="R369" s="16">
        <f ca="1">IF(ISNUMBER(SEARCH(INDIRECT(CELL("address")),S369)),MAX($R$1:R368)+1,0)</f>
        <v>368</v>
      </c>
      <c r="S369" s="18" t="str">
        <f>Table1[[#This Row],[Portico_Specialty]]&amp;"-"&amp;Table1[[#This Row],[Code]]</f>
        <v>Medicare Defined Swing Bed Unit-275N00000X</v>
      </c>
      <c r="U369" s="16" t="str">
        <f ca="1">IFERROR(VLOOKUP(ROWS($U$1:U368),$R$2:$S$918,2,FALSE),"")</f>
        <v>Medicare Defined Swing Bed Unit-275N00000X</v>
      </c>
    </row>
    <row r="370" spans="1:21" x14ac:dyDescent="0.3">
      <c r="A370" s="21" t="s">
        <v>507</v>
      </c>
      <c r="B370" s="21" t="str">
        <f>Table1[[#This Row],[Code]]&amp;" "&amp;Table1[[#This Row],[Portico_Specialty]]</f>
        <v>176B00000X Midwife</v>
      </c>
      <c r="C370" s="21" t="str">
        <f>CLEAN(Table1[[#This Row],[Code]])</f>
        <v>176B00000X</v>
      </c>
      <c r="D370" s="1" t="s">
        <v>508</v>
      </c>
      <c r="E370" s="1"/>
      <c r="F370" s="1" t="s">
        <v>2587</v>
      </c>
      <c r="G370" s="3" t="s">
        <v>2588</v>
      </c>
      <c r="H370" s="1" t="s">
        <v>2594</v>
      </c>
      <c r="I370" s="1"/>
      <c r="J370" s="1" t="s">
        <v>2594</v>
      </c>
      <c r="K370" s="1" t="s">
        <v>2594</v>
      </c>
      <c r="L370" s="1" t="s">
        <v>2594</v>
      </c>
      <c r="M370" s="1" t="s">
        <v>2594</v>
      </c>
      <c r="N370" s="1" t="s">
        <v>2594</v>
      </c>
      <c r="O370" s="1" t="s">
        <v>2594</v>
      </c>
      <c r="P370" s="9"/>
      <c r="R370" s="16">
        <f ca="1">IF(ISNUMBER(SEARCH(INDIRECT(CELL("address")),S370)),MAX($R$1:R369)+1,0)</f>
        <v>369</v>
      </c>
      <c r="S370" s="18" t="str">
        <f>Table1[[#This Row],[Portico_Specialty]]&amp;"-"&amp;Table1[[#This Row],[Code]]</f>
        <v>Midwife-176B00000X</v>
      </c>
      <c r="U370" s="16" t="str">
        <f ca="1">IFERROR(VLOOKUP(ROWS($U$1:U369),$R$2:$S$918,2,FALSE),"")</f>
        <v>Midwife-176B00000X</v>
      </c>
    </row>
    <row r="371" spans="1:21" x14ac:dyDescent="0.3">
      <c r="A371" s="21" t="s">
        <v>503</v>
      </c>
      <c r="B371" s="21" t="str">
        <f>Table1[[#This Row],[Code]]&amp;" "&amp;Table1[[#This Row],[Portico_Specialty]]</f>
        <v>175M00000X Midwife, Lay</v>
      </c>
      <c r="C371" s="21" t="str">
        <f>CLEAN(Table1[[#This Row],[Code]])</f>
        <v>175M00000X</v>
      </c>
      <c r="D371" s="1" t="s">
        <v>504</v>
      </c>
      <c r="E371" s="1"/>
      <c r="F371" s="1" t="s">
        <v>2587</v>
      </c>
      <c r="G371" s="3" t="s">
        <v>2588</v>
      </c>
      <c r="H371" s="1" t="s">
        <v>2594</v>
      </c>
      <c r="I371" s="1"/>
      <c r="J371" s="1" t="s">
        <v>2594</v>
      </c>
      <c r="K371" s="1" t="s">
        <v>2594</v>
      </c>
      <c r="L371" s="1" t="s">
        <v>2594</v>
      </c>
      <c r="M371" s="1" t="s">
        <v>2594</v>
      </c>
      <c r="N371" s="1" t="s">
        <v>2594</v>
      </c>
      <c r="O371" s="1" t="s">
        <v>2594</v>
      </c>
      <c r="P371" s="9"/>
      <c r="R371" s="16">
        <f ca="1">IF(ISNUMBER(SEARCH(INDIRECT(CELL("address")),S371)),MAX($R$1:R370)+1,0)</f>
        <v>370</v>
      </c>
      <c r="S371" s="18" t="str">
        <f>Table1[[#This Row],[Portico_Specialty]]&amp;"-"&amp;Table1[[#This Row],[Code]]</f>
        <v>Midwife, Lay-175M00000X</v>
      </c>
      <c r="U371" s="16" t="str">
        <f ca="1">IFERROR(VLOOKUP(ROWS($U$1:U370),$R$2:$S$918,2,FALSE),"")</f>
        <v>Midwife, Lay-175M00000X</v>
      </c>
    </row>
    <row r="372" spans="1:21" x14ac:dyDescent="0.3">
      <c r="A372" s="21" t="s">
        <v>1531</v>
      </c>
      <c r="B372" s="21" t="str">
        <f>Table1[[#This Row],[Code]]&amp;" "&amp;Table1[[#This Row],[Portico_Specialty]]</f>
        <v>291900000X Military Clinical Medical Laboratory</v>
      </c>
      <c r="C372" s="21" t="str">
        <f>CLEAN(Table1[[#This Row],[Code]])</f>
        <v>291900000X</v>
      </c>
      <c r="D372" s="1" t="s">
        <v>1532</v>
      </c>
      <c r="E372" s="1"/>
      <c r="F372" s="1" t="s">
        <v>2587</v>
      </c>
      <c r="G372" s="4" t="s">
        <v>2593</v>
      </c>
      <c r="H372" s="1" t="s">
        <v>2667</v>
      </c>
      <c r="I372" s="1"/>
      <c r="J372" s="1" t="s">
        <v>2667</v>
      </c>
      <c r="K372" s="1" t="s">
        <v>2667</v>
      </c>
      <c r="L372" s="1" t="s">
        <v>2667</v>
      </c>
      <c r="M372" s="1" t="s">
        <v>2667</v>
      </c>
      <c r="N372" s="1" t="s">
        <v>2667</v>
      </c>
      <c r="O372" s="1" t="s">
        <v>2667</v>
      </c>
      <c r="P372" s="9"/>
      <c r="R372" s="16">
        <f ca="1">IF(ISNUMBER(SEARCH(INDIRECT(CELL("address")),S372)),MAX($R$1:R371)+1,0)</f>
        <v>371</v>
      </c>
      <c r="S372" s="18" t="str">
        <f>Table1[[#This Row],[Portico_Specialty]]&amp;"-"&amp;Table1[[#This Row],[Code]]</f>
        <v>Military Clinical Medical Laboratory-291900000X</v>
      </c>
      <c r="U372" s="16" t="str">
        <f ca="1">IFERROR(VLOOKUP(ROWS($U$1:U371),$R$2:$S$918,2,FALSE),"")</f>
        <v>Military Clinical Medical Laboratory-291900000X</v>
      </c>
    </row>
    <row r="373" spans="1:21" x14ac:dyDescent="0.3">
      <c r="A373" s="21" t="s">
        <v>443</v>
      </c>
      <c r="B373" s="21" t="str">
        <f>Table1[[#This Row],[Code]]&amp;" "&amp;Table1[[#This Row],[Portico_Specialty]]</f>
        <v>171000000X Military Health Care Provider</v>
      </c>
      <c r="C373" s="21" t="str">
        <f>CLEAN(Table1[[#This Row],[Code]])</f>
        <v>171000000X</v>
      </c>
      <c r="D373" s="1" t="s">
        <v>444</v>
      </c>
      <c r="E373" s="1"/>
      <c r="F373" s="1" t="s">
        <v>2587</v>
      </c>
      <c r="G373" s="3" t="s">
        <v>2588</v>
      </c>
      <c r="H373" s="1" t="s">
        <v>2615</v>
      </c>
      <c r="I373" s="1"/>
      <c r="J373" s="1" t="s">
        <v>2590</v>
      </c>
      <c r="K373" s="1" t="s">
        <v>2792</v>
      </c>
      <c r="L373" s="1"/>
      <c r="M373" s="1"/>
      <c r="N373" s="1"/>
      <c r="O373" s="1" t="s">
        <v>2792</v>
      </c>
      <c r="P373" s="9"/>
      <c r="R373" s="16">
        <f ca="1">IF(ISNUMBER(SEARCH(INDIRECT(CELL("address")),S373)),MAX($R$1:R372)+1,0)</f>
        <v>372</v>
      </c>
      <c r="S373" s="18" t="str">
        <f>Table1[[#This Row],[Portico_Specialty]]&amp;"-"&amp;Table1[[#This Row],[Code]]</f>
        <v>Military Health Care Provider-171000000X</v>
      </c>
      <c r="U373" s="16" t="str">
        <f ca="1">IFERROR(VLOOKUP(ROWS($U$1:U372),$R$2:$S$918,2,FALSE),"")</f>
        <v>Military Health Care Provider-171000000X</v>
      </c>
    </row>
    <row r="374" spans="1:21" ht="30.75" x14ac:dyDescent="0.3">
      <c r="A374" s="21" t="s">
        <v>445</v>
      </c>
      <c r="B374" s="21" t="str">
        <f>Table1[[#This Row],[Code]]&amp;" "&amp;Table1[[#This Row],[Portico_Specialty]]</f>
        <v>1710I1002X Military Health Care Provider: Independent Duty Corpsman</v>
      </c>
      <c r="C374" s="21" t="str">
        <f>CLEAN(Table1[[#This Row],[Code]])</f>
        <v>1710I1002X</v>
      </c>
      <c r="D374" s="1" t="s">
        <v>446</v>
      </c>
      <c r="E374" s="1"/>
      <c r="F374" s="1" t="s">
        <v>2587</v>
      </c>
      <c r="G374" s="3" t="s">
        <v>2588</v>
      </c>
      <c r="H374" s="1" t="s">
        <v>2615</v>
      </c>
      <c r="I374" s="1"/>
      <c r="J374" s="1" t="s">
        <v>2590</v>
      </c>
      <c r="K374" s="1" t="s">
        <v>2792</v>
      </c>
      <c r="L374" s="1"/>
      <c r="M374" s="1"/>
      <c r="N374" s="1"/>
      <c r="O374" s="1" t="s">
        <v>2792</v>
      </c>
      <c r="P374" s="9"/>
      <c r="R374" s="16">
        <f ca="1">IF(ISNUMBER(SEARCH(INDIRECT(CELL("address")),S374)),MAX($R$1:R373)+1,0)</f>
        <v>373</v>
      </c>
      <c r="S374" s="18" t="str">
        <f>Table1[[#This Row],[Portico_Specialty]]&amp;"-"&amp;Table1[[#This Row],[Code]]</f>
        <v>Military Health Care Provider: Independent Duty Corpsman-1710I1002X</v>
      </c>
      <c r="U374" s="16" t="str">
        <f ca="1">IFERROR(VLOOKUP(ROWS($U$1:U373),$R$2:$S$918,2,FALSE),"")</f>
        <v>Military Health Care Provider: Independent Duty Corpsman-1710I1002X</v>
      </c>
    </row>
    <row r="375" spans="1:21" ht="30.75" x14ac:dyDescent="0.3">
      <c r="A375" s="21" t="s">
        <v>447</v>
      </c>
      <c r="B375" s="21" t="str">
        <f>Table1[[#This Row],[Code]]&amp;" "&amp;Table1[[#This Row],[Portico_Specialty]]</f>
        <v>1710I1003X Military Health Care Provider: Independent Duty Medical Technicians</v>
      </c>
      <c r="C375" s="21" t="str">
        <f>CLEAN(Table1[[#This Row],[Code]])</f>
        <v>1710I1003X</v>
      </c>
      <c r="D375" s="1" t="s">
        <v>448</v>
      </c>
      <c r="E375" s="1"/>
      <c r="F375" s="1" t="s">
        <v>2587</v>
      </c>
      <c r="G375" s="3" t="s">
        <v>2588</v>
      </c>
      <c r="H375" s="1" t="s">
        <v>2615</v>
      </c>
      <c r="I375" s="1"/>
      <c r="J375" s="1" t="s">
        <v>2590</v>
      </c>
      <c r="K375" s="1" t="s">
        <v>2792</v>
      </c>
      <c r="L375" s="1" t="s">
        <v>2615</v>
      </c>
      <c r="M375" s="1" t="s">
        <v>2615</v>
      </c>
      <c r="N375" s="1"/>
      <c r="O375" s="1" t="s">
        <v>2792</v>
      </c>
      <c r="P375" s="9"/>
      <c r="R375" s="16">
        <f ca="1">IF(ISNUMBER(SEARCH(INDIRECT(CELL("address")),S375)),MAX($R$1:R374)+1,0)</f>
        <v>374</v>
      </c>
      <c r="S375" s="18" t="str">
        <f>Table1[[#This Row],[Portico_Specialty]]&amp;"-"&amp;Table1[[#This Row],[Code]]</f>
        <v>Military Health Care Provider: Independent Duty Medical Technicians-1710I1003X</v>
      </c>
      <c r="U375" s="16" t="str">
        <f ca="1">IFERROR(VLOOKUP(ROWS($U$1:U374),$R$2:$S$918,2,FALSE),"")</f>
        <v>Military Health Care Provider: Independent Duty Medical Technicians-1710I1003X</v>
      </c>
    </row>
    <row r="376" spans="1:21" x14ac:dyDescent="0.3">
      <c r="A376" s="21" t="s">
        <v>1521</v>
      </c>
      <c r="B376" s="21" t="str">
        <f>Table1[[#This Row],[Code]]&amp;" "&amp;Table1[[#This Row],[Portico_Specialty]]</f>
        <v>286500000X Military Hospital</v>
      </c>
      <c r="C376" s="21" t="str">
        <f>CLEAN(Table1[[#This Row],[Code]])</f>
        <v>286500000X</v>
      </c>
      <c r="D376" s="1" t="s">
        <v>1522</v>
      </c>
      <c r="E376" s="1"/>
      <c r="F376" s="1" t="s">
        <v>2587</v>
      </c>
      <c r="G376" s="3" t="s">
        <v>2588</v>
      </c>
      <c r="H376" s="1" t="s">
        <v>2642</v>
      </c>
      <c r="I376" s="1"/>
      <c r="J376" s="1" t="s">
        <v>2642</v>
      </c>
      <c r="K376" s="1" t="s">
        <v>2642</v>
      </c>
      <c r="L376" s="1" t="s">
        <v>2642</v>
      </c>
      <c r="M376" s="1" t="s">
        <v>2642</v>
      </c>
      <c r="N376" s="1" t="s">
        <v>2643</v>
      </c>
      <c r="O376" s="1" t="s">
        <v>2642</v>
      </c>
      <c r="P376" s="9"/>
      <c r="R376" s="16">
        <f ca="1">IF(ISNUMBER(SEARCH(INDIRECT(CELL("address")),S376)),MAX($R$1:R375)+1,0)</f>
        <v>375</v>
      </c>
      <c r="S376" s="18" t="str">
        <f>Table1[[#This Row],[Portico_Specialty]]&amp;"-"&amp;Table1[[#This Row],[Code]]</f>
        <v>Military Hospital-286500000X</v>
      </c>
      <c r="U376" s="16" t="str">
        <f ca="1">IFERROR(VLOOKUP(ROWS($U$1:U375),$R$2:$S$918,2,FALSE),"")</f>
        <v>Military Hospital-286500000X</v>
      </c>
    </row>
    <row r="377" spans="1:21" x14ac:dyDescent="0.3">
      <c r="A377" s="21" t="s">
        <v>1523</v>
      </c>
      <c r="B377" s="21" t="str">
        <f>Table1[[#This Row],[Code]]&amp;" "&amp;Table1[[#This Row],[Portico_Specialty]]</f>
        <v>2865C1500X Military Hospital: Community Health</v>
      </c>
      <c r="C377" s="21" t="str">
        <f>CLEAN(Table1[[#This Row],[Code]])</f>
        <v>2865C1500X</v>
      </c>
      <c r="D377" s="1" t="s">
        <v>1524</v>
      </c>
      <c r="E377" s="1"/>
      <c r="F377" s="1" t="s">
        <v>2587</v>
      </c>
      <c r="G377" s="3" t="s">
        <v>2588</v>
      </c>
      <c r="H377" s="1" t="s">
        <v>2642</v>
      </c>
      <c r="I377" s="1"/>
      <c r="J377" s="1" t="s">
        <v>2642</v>
      </c>
      <c r="K377" s="1" t="s">
        <v>2642</v>
      </c>
      <c r="L377" s="1" t="s">
        <v>2642</v>
      </c>
      <c r="M377" s="1" t="s">
        <v>2642</v>
      </c>
      <c r="N377" s="1" t="s">
        <v>2643</v>
      </c>
      <c r="O377" s="1" t="s">
        <v>2642</v>
      </c>
      <c r="P377" s="9"/>
      <c r="R377" s="16">
        <f ca="1">IF(ISNUMBER(SEARCH(INDIRECT(CELL("address")),S377)),MAX($R$1:R376)+1,0)</f>
        <v>376</v>
      </c>
      <c r="S377" s="18" t="str">
        <f>Table1[[#This Row],[Portico_Specialty]]&amp;"-"&amp;Table1[[#This Row],[Code]]</f>
        <v>Military Hospital: Community Health-2865C1500X</v>
      </c>
      <c r="U377" s="16" t="str">
        <f ca="1">IFERROR(VLOOKUP(ROWS($U$1:U376),$R$2:$S$918,2,FALSE),"")</f>
        <v>Military Hospital: Community Health-2865C1500X</v>
      </c>
    </row>
    <row r="378" spans="1:21" ht="30.75" x14ac:dyDescent="0.3">
      <c r="A378" s="21" t="s">
        <v>1525</v>
      </c>
      <c r="B378" s="21" t="str">
        <f>Table1[[#This Row],[Code]]&amp;" "&amp;Table1[[#This Row],[Portico_Specialty]]</f>
        <v>2865M2000X Military Hospital: Military General Acute Care Hospital</v>
      </c>
      <c r="C378" s="21" t="str">
        <f>CLEAN(Table1[[#This Row],[Code]])</f>
        <v>2865M2000X</v>
      </c>
      <c r="D378" s="1" t="s">
        <v>1526</v>
      </c>
      <c r="E378" s="1"/>
      <c r="F378" s="1" t="s">
        <v>2587</v>
      </c>
      <c r="G378" s="3" t="s">
        <v>2588</v>
      </c>
      <c r="H378" s="1" t="s">
        <v>2642</v>
      </c>
      <c r="I378" s="1"/>
      <c r="J378" s="1" t="s">
        <v>2642</v>
      </c>
      <c r="K378" s="1" t="s">
        <v>2642</v>
      </c>
      <c r="L378" s="1" t="s">
        <v>2642</v>
      </c>
      <c r="M378" s="1" t="s">
        <v>2642</v>
      </c>
      <c r="N378" s="1" t="s">
        <v>2643</v>
      </c>
      <c r="O378" s="1" t="s">
        <v>2642</v>
      </c>
      <c r="P378" s="9"/>
      <c r="R378" s="16">
        <f ca="1">IF(ISNUMBER(SEARCH(INDIRECT(CELL("address")),S378)),MAX($R$1:R377)+1,0)</f>
        <v>377</v>
      </c>
      <c r="S378" s="18" t="str">
        <f>Table1[[#This Row],[Portico_Specialty]]&amp;"-"&amp;Table1[[#This Row],[Code]]</f>
        <v>Military Hospital: Military General Acute Care Hospital-2865M2000X</v>
      </c>
      <c r="U378" s="16" t="str">
        <f ca="1">IFERROR(VLOOKUP(ROWS($U$1:U377),$R$2:$S$918,2,FALSE),"")</f>
        <v>Military Hospital: Military General Acute Care Hospital-2865M2000X</v>
      </c>
    </row>
    <row r="379" spans="1:21" ht="30.75" x14ac:dyDescent="0.3">
      <c r="A379" s="21" t="s">
        <v>1527</v>
      </c>
      <c r="B379" s="21" t="str">
        <f>Table1[[#This Row],[Code]]&amp;" "&amp;Table1[[#This Row],[Portico_Specialty]]</f>
        <v>2865X1600X Military Hospital: Military General Acute Care Hospital. Operational (Transportable)</v>
      </c>
      <c r="C379" s="21" t="str">
        <f>CLEAN(Table1[[#This Row],[Code]])</f>
        <v>2865X1600X</v>
      </c>
      <c r="D379" s="1" t="s">
        <v>1528</v>
      </c>
      <c r="E379" s="1"/>
      <c r="F379" s="1" t="s">
        <v>2587</v>
      </c>
      <c r="G379" s="3" t="s">
        <v>2588</v>
      </c>
      <c r="H379" s="1" t="s">
        <v>2642</v>
      </c>
      <c r="I379" s="1"/>
      <c r="J379" s="1" t="s">
        <v>2642</v>
      </c>
      <c r="K379" s="1" t="s">
        <v>2642</v>
      </c>
      <c r="L379" s="1" t="s">
        <v>2642</v>
      </c>
      <c r="M379" s="1" t="s">
        <v>2642</v>
      </c>
      <c r="N379" s="1" t="s">
        <v>2643</v>
      </c>
      <c r="O379" s="1" t="s">
        <v>2642</v>
      </c>
      <c r="P379" s="9"/>
      <c r="R379" s="16">
        <f ca="1">IF(ISNUMBER(SEARCH(INDIRECT(CELL("address")),S379)),MAX($R$1:R378)+1,0)</f>
        <v>378</v>
      </c>
      <c r="S379" s="18" t="str">
        <f>Table1[[#This Row],[Portico_Specialty]]&amp;"-"&amp;Table1[[#This Row],[Code]]</f>
        <v>Military Hospital: Military General Acute Care Hospital. Operational (Transportable)-2865X1600X</v>
      </c>
      <c r="U379" s="16" t="str">
        <f ca="1">IFERROR(VLOOKUP(ROWS($U$1:U378),$R$2:$S$918,2,FALSE),"")</f>
        <v>Military Hospital: Military General Acute Care Hospital. Operational (Transportable)-2865X1600X</v>
      </c>
    </row>
    <row r="380" spans="1:21" x14ac:dyDescent="0.3">
      <c r="A380" s="21" t="s">
        <v>1591</v>
      </c>
      <c r="B380" s="21" t="str">
        <f>Table1[[#This Row],[Code]]&amp;" "&amp;Table1[[#This Row],[Portico_Specialty]]</f>
        <v>332000000X Military/U.S. Coast Guard Pharmacy</v>
      </c>
      <c r="C380" s="21" t="str">
        <f>CLEAN(Table1[[#This Row],[Code]])</f>
        <v>332000000X</v>
      </c>
      <c r="D380" s="1" t="s">
        <v>1592</v>
      </c>
      <c r="E380" s="1"/>
      <c r="F380" s="1" t="s">
        <v>2587</v>
      </c>
      <c r="G380" s="3" t="s">
        <v>2588</v>
      </c>
      <c r="H380" s="1" t="s">
        <v>2693</v>
      </c>
      <c r="I380" s="1"/>
      <c r="J380" s="1" t="s">
        <v>2693</v>
      </c>
      <c r="K380" s="1" t="s">
        <v>2672</v>
      </c>
      <c r="L380" s="1" t="s">
        <v>2693</v>
      </c>
      <c r="M380" s="1" t="s">
        <v>2693</v>
      </c>
      <c r="N380" s="1" t="s">
        <v>2694</v>
      </c>
      <c r="O380" s="1" t="s">
        <v>2672</v>
      </c>
      <c r="P380" s="9"/>
      <c r="R380" s="16">
        <f ca="1">IF(ISNUMBER(SEARCH(INDIRECT(CELL("address")),S380)),MAX($R$1:R379)+1,0)</f>
        <v>379</v>
      </c>
      <c r="S380" s="18" t="str">
        <f>Table1[[#This Row],[Portico_Specialty]]&amp;"-"&amp;Table1[[#This Row],[Code]]</f>
        <v>Military/U.S. Coast Guard Pharmacy-332000000X</v>
      </c>
      <c r="U380" s="16" t="str">
        <f ca="1">IFERROR(VLOOKUP(ROWS($U$1:U379),$R$2:$S$918,2,FALSE),"")</f>
        <v>Military/U.S. Coast Guard Pharmacy-332000000X</v>
      </c>
    </row>
    <row r="381" spans="1:21" x14ac:dyDescent="0.3">
      <c r="A381" s="21" t="s">
        <v>1659</v>
      </c>
      <c r="B381" s="21" t="str">
        <f>Table1[[#This Row],[Code]]&amp;" "&amp;Table1[[#This Row],[Portico_Specialty]]</f>
        <v>341800000X Military/U.S. Coast Guard Transport</v>
      </c>
      <c r="C381" s="21" t="str">
        <f>CLEAN(Table1[[#This Row],[Code]])</f>
        <v>341800000X</v>
      </c>
      <c r="D381" s="1" t="s">
        <v>1660</v>
      </c>
      <c r="E381" s="1"/>
      <c r="F381" s="1" t="s">
        <v>2587</v>
      </c>
      <c r="G381" s="3" t="s">
        <v>2588</v>
      </c>
      <c r="H381" s="1" t="s">
        <v>2595</v>
      </c>
      <c r="I381" s="1"/>
      <c r="J381" s="1" t="s">
        <v>2595</v>
      </c>
      <c r="K381" s="1" t="s">
        <v>2596</v>
      </c>
      <c r="L381" s="1" t="s">
        <v>2595</v>
      </c>
      <c r="M381" s="1" t="s">
        <v>2595</v>
      </c>
      <c r="N381" s="1"/>
      <c r="O381" s="1" t="s">
        <v>2596</v>
      </c>
      <c r="P381" s="9"/>
      <c r="R381" s="16">
        <f ca="1">IF(ISNUMBER(SEARCH(INDIRECT(CELL("address")),S381)),MAX($R$1:R380)+1,0)</f>
        <v>380</v>
      </c>
      <c r="S381" s="18" t="str">
        <f>Table1[[#This Row],[Portico_Specialty]]&amp;"-"&amp;Table1[[#This Row],[Code]]</f>
        <v>Military/U.S. Coast Guard Transport-341800000X</v>
      </c>
      <c r="U381" s="16" t="str">
        <f ca="1">IFERROR(VLOOKUP(ROWS($U$1:U380),$R$2:$S$918,2,FALSE),"")</f>
        <v>Military/U.S. Coast Guard Transport-341800000X</v>
      </c>
    </row>
    <row r="382" spans="1:21" ht="30.75" x14ac:dyDescent="0.3">
      <c r="A382" s="21" t="s">
        <v>1663</v>
      </c>
      <c r="B382" s="21" t="str">
        <f>Table1[[#This Row],[Code]]&amp;" "&amp;Table1[[#This Row],[Portico_Specialty]]</f>
        <v>3418M1120X Military/U.S. Coast Guard Transport: Military or U.S. Coast Guard Ambulance, Air Transport</v>
      </c>
      <c r="C382" s="21" t="str">
        <f>CLEAN(Table1[[#This Row],[Code]])</f>
        <v>3418M1120X</v>
      </c>
      <c r="D382" s="1" t="s">
        <v>1664</v>
      </c>
      <c r="E382" s="1"/>
      <c r="F382" s="1" t="s">
        <v>2587</v>
      </c>
      <c r="G382" s="3" t="s">
        <v>2588</v>
      </c>
      <c r="H382" s="1" t="s">
        <v>2595</v>
      </c>
      <c r="I382" s="1"/>
      <c r="J382" s="1" t="s">
        <v>2595</v>
      </c>
      <c r="K382" s="1" t="s">
        <v>2596</v>
      </c>
      <c r="L382" s="1" t="s">
        <v>2595</v>
      </c>
      <c r="M382" s="1" t="s">
        <v>2595</v>
      </c>
      <c r="N382" s="1"/>
      <c r="O382" s="1" t="s">
        <v>2596</v>
      </c>
      <c r="P382" s="9"/>
      <c r="R382" s="16">
        <f ca="1">IF(ISNUMBER(SEARCH(INDIRECT(CELL("address")),S382)),MAX($R$1:R381)+1,0)</f>
        <v>381</v>
      </c>
      <c r="S382" s="18" t="str">
        <f>Table1[[#This Row],[Portico_Specialty]]&amp;"-"&amp;Table1[[#This Row],[Code]]</f>
        <v>Military/U.S. Coast Guard Transport: Military or U.S. Coast Guard Ambulance, Air Transport-3418M1120X</v>
      </c>
      <c r="U382" s="16" t="str">
        <f ca="1">IFERROR(VLOOKUP(ROWS($U$1:U381),$R$2:$S$918,2,FALSE),"")</f>
        <v>Military/U.S. Coast Guard Transport: Military or U.S. Coast Guard Ambulance, Air Transport-3418M1120X</v>
      </c>
    </row>
    <row r="383" spans="1:21" ht="30.75" x14ac:dyDescent="0.3">
      <c r="A383" s="21" t="s">
        <v>1661</v>
      </c>
      <c r="B383" s="21" t="str">
        <f>Table1[[#This Row],[Code]]&amp;" "&amp;Table1[[#This Row],[Portico_Specialty]]</f>
        <v>3418M1110X Military/U.S. Coast Guard Transport: Military or U.S. Coast Guard Ambulance, Ground Transport</v>
      </c>
      <c r="C383" s="21" t="str">
        <f>CLEAN(Table1[[#This Row],[Code]])</f>
        <v>3418M1110X</v>
      </c>
      <c r="D383" s="1" t="s">
        <v>1662</v>
      </c>
      <c r="E383" s="1"/>
      <c r="F383" s="1" t="s">
        <v>2587</v>
      </c>
      <c r="G383" s="3" t="s">
        <v>2588</v>
      </c>
      <c r="H383" s="1" t="s">
        <v>2595</v>
      </c>
      <c r="I383" s="1"/>
      <c r="J383" s="1" t="s">
        <v>2595</v>
      </c>
      <c r="K383" s="1" t="s">
        <v>2596</v>
      </c>
      <c r="L383" s="1" t="s">
        <v>2595</v>
      </c>
      <c r="M383" s="1" t="s">
        <v>2595</v>
      </c>
      <c r="N383" s="1"/>
      <c r="O383" s="1" t="s">
        <v>2596</v>
      </c>
      <c r="P383" s="9"/>
      <c r="R383" s="16">
        <f ca="1">IF(ISNUMBER(SEARCH(INDIRECT(CELL("address")),S383)),MAX($R$1:R382)+1,0)</f>
        <v>382</v>
      </c>
      <c r="S383" s="18" t="str">
        <f>Table1[[#This Row],[Portico_Specialty]]&amp;"-"&amp;Table1[[#This Row],[Code]]</f>
        <v>Military/U.S. Coast Guard Transport: Military or U.S. Coast Guard Ambulance, Ground Transport-3418M1110X</v>
      </c>
      <c r="U383" s="16" t="str">
        <f ca="1">IFERROR(VLOOKUP(ROWS($U$1:U382),$R$2:$S$918,2,FALSE),"")</f>
        <v>Military/U.S. Coast Guard Transport: Military or U.S. Coast Guard Ambulance, Ground Transport-3418M1110X</v>
      </c>
    </row>
    <row r="384" spans="1:21" ht="30.75" x14ac:dyDescent="0.3">
      <c r="A384" s="21" t="s">
        <v>1665</v>
      </c>
      <c r="B384" s="21" t="str">
        <f>Table1[[#This Row],[Code]]&amp;" "&amp;Table1[[#This Row],[Portico_Specialty]]</f>
        <v>3418M1130X Military/U.S. Coast Guard Transport: Military or U.S. Coast Guard Ambulance, Water Transport</v>
      </c>
      <c r="C384" s="21" t="str">
        <f>CLEAN(Table1[[#This Row],[Code]])</f>
        <v>3418M1130X</v>
      </c>
      <c r="D384" s="1" t="s">
        <v>1666</v>
      </c>
      <c r="E384" s="1"/>
      <c r="F384" s="1" t="s">
        <v>2587</v>
      </c>
      <c r="G384" s="3" t="s">
        <v>2588</v>
      </c>
      <c r="H384" s="1" t="s">
        <v>2595</v>
      </c>
      <c r="I384" s="1"/>
      <c r="J384" s="1" t="s">
        <v>2595</v>
      </c>
      <c r="K384" s="1" t="s">
        <v>2596</v>
      </c>
      <c r="L384" s="1" t="s">
        <v>2595</v>
      </c>
      <c r="M384" s="1" t="s">
        <v>2595</v>
      </c>
      <c r="N384" s="1"/>
      <c r="O384" s="1" t="s">
        <v>2596</v>
      </c>
      <c r="P384" s="9"/>
      <c r="R384" s="16">
        <f ca="1">IF(ISNUMBER(SEARCH(INDIRECT(CELL("address")),S384)),MAX($R$1:R383)+1,0)</f>
        <v>383</v>
      </c>
      <c r="S384" s="18" t="str">
        <f>Table1[[#This Row],[Portico_Specialty]]&amp;"-"&amp;Table1[[#This Row],[Code]]</f>
        <v>Military/U.S. Coast Guard Transport: Military or U.S. Coast Guard Ambulance, Water Transport-3418M1130X</v>
      </c>
      <c r="U384" s="16" t="str">
        <f ca="1">IFERROR(VLOOKUP(ROWS($U$1:U383),$R$2:$S$918,2,FALSE),"")</f>
        <v>Military/U.S. Coast Guard Transport: Military or U.S. Coast Guard Ambulance, Water Transport-3418M1130X</v>
      </c>
    </row>
    <row r="385" spans="1:21" x14ac:dyDescent="0.3">
      <c r="A385" s="21" t="s">
        <v>539</v>
      </c>
      <c r="B385" s="21" t="str">
        <f>Table1[[#This Row],[Code]]&amp;" "&amp;Table1[[#This Row],[Portico_Specialty]]</f>
        <v>193200000X Multi-Specialty</v>
      </c>
      <c r="C385" s="21" t="str">
        <f>CLEAN(Table1[[#This Row],[Code]])</f>
        <v>193200000X</v>
      </c>
      <c r="D385" s="1" t="s">
        <v>540</v>
      </c>
      <c r="E385" s="1"/>
      <c r="F385" s="4" t="s">
        <v>2619</v>
      </c>
      <c r="G385" s="4" t="s">
        <v>2593</v>
      </c>
      <c r="H385" s="1"/>
      <c r="I385" s="1"/>
      <c r="J385" s="1" t="s">
        <v>2793</v>
      </c>
      <c r="K385" s="1" t="s">
        <v>2793</v>
      </c>
      <c r="L385" s="1"/>
      <c r="M385" s="1" t="s">
        <v>2793</v>
      </c>
      <c r="N385" s="1" t="s">
        <v>2621</v>
      </c>
      <c r="O385" s="1" t="s">
        <v>2793</v>
      </c>
      <c r="P385" s="9"/>
      <c r="R385" s="16">
        <f ca="1">IF(ISNUMBER(SEARCH(INDIRECT(CELL("address")),S385)),MAX($R$1:R384)+1,0)</f>
        <v>384</v>
      </c>
      <c r="S385" s="18" t="str">
        <f>Table1[[#This Row],[Portico_Specialty]]&amp;"-"&amp;Table1[[#This Row],[Code]]</f>
        <v>Multi-Specialty-193200000X</v>
      </c>
      <c r="U385" s="16" t="str">
        <f ca="1">IFERROR(VLOOKUP(ROWS($U$1:U384),$R$2:$S$918,2,FALSE),"")</f>
        <v>Multi-Specialty-193200000X</v>
      </c>
    </row>
    <row r="386" spans="1:21" x14ac:dyDescent="0.3">
      <c r="A386" s="21" t="s">
        <v>1079</v>
      </c>
      <c r="B386" s="21" t="str">
        <f>Table1[[#This Row],[Code]]&amp;" "&amp;Table1[[#This Row],[Portico_Specialty]]</f>
        <v>225A00000X Music Therapist</v>
      </c>
      <c r="C386" s="21" t="str">
        <f>CLEAN(Table1[[#This Row],[Code]])</f>
        <v>225A00000X</v>
      </c>
      <c r="D386" s="1" t="s">
        <v>1080</v>
      </c>
      <c r="E386" s="1"/>
      <c r="F386" s="1" t="s">
        <v>2587</v>
      </c>
      <c r="G386" s="3" t="s">
        <v>2588</v>
      </c>
      <c r="H386" s="1" t="s">
        <v>2600</v>
      </c>
      <c r="I386" s="1"/>
      <c r="J386" s="1" t="s">
        <v>2590</v>
      </c>
      <c r="K386" s="1" t="s">
        <v>2600</v>
      </c>
      <c r="L386" s="1" t="s">
        <v>2600</v>
      </c>
      <c r="M386" s="1"/>
      <c r="N386" s="1"/>
      <c r="O386" s="1" t="s">
        <v>2600</v>
      </c>
      <c r="P386" s="9"/>
      <c r="R386" s="16">
        <f ca="1">IF(ISNUMBER(SEARCH(INDIRECT(CELL("address")),S386)),MAX($R$1:R385)+1,0)</f>
        <v>385</v>
      </c>
      <c r="S386" s="18" t="str">
        <f>Table1[[#This Row],[Portico_Specialty]]&amp;"-"&amp;Table1[[#This Row],[Code]]</f>
        <v>Music Therapist-225A00000X</v>
      </c>
      <c r="U386" s="16" t="str">
        <f ca="1">IFERROR(VLOOKUP(ROWS($U$1:U385),$R$2:$S$918,2,FALSE),"")</f>
        <v>Music Therapist-225A00000X</v>
      </c>
    </row>
    <row r="387" spans="1:21" x14ac:dyDescent="0.3">
      <c r="A387" s="21" t="s">
        <v>467</v>
      </c>
      <c r="B387" s="21" t="str">
        <f>Table1[[#This Row],[Code]]&amp;" "&amp;Table1[[#This Row],[Portico_Specialty]]</f>
        <v>172P00000X Naprapath</v>
      </c>
      <c r="C387" s="21" t="str">
        <f>CLEAN(Table1[[#This Row],[Code]])</f>
        <v>172P00000X</v>
      </c>
      <c r="D387" s="1" t="s">
        <v>468</v>
      </c>
      <c r="E387" s="1"/>
      <c r="F387" s="1" t="s">
        <v>2587</v>
      </c>
      <c r="G387" s="3" t="s">
        <v>2588</v>
      </c>
      <c r="H387" s="1" t="s">
        <v>2615</v>
      </c>
      <c r="I387" s="1"/>
      <c r="J387" s="1" t="s">
        <v>2794</v>
      </c>
      <c r="K387" s="1" t="s">
        <v>2590</v>
      </c>
      <c r="L387" s="1"/>
      <c r="M387" s="1" t="s">
        <v>2794</v>
      </c>
      <c r="N387" s="1" t="s">
        <v>2638</v>
      </c>
      <c r="O387" s="1" t="s">
        <v>2590</v>
      </c>
      <c r="P387" s="9"/>
      <c r="R387" s="16">
        <f ca="1">IF(ISNUMBER(SEARCH(INDIRECT(CELL("address")),S387)),MAX($R$1:R386)+1,0)</f>
        <v>386</v>
      </c>
      <c r="S387" s="18" t="str">
        <f>Table1[[#This Row],[Portico_Specialty]]&amp;"-"&amp;Table1[[#This Row],[Code]]</f>
        <v>Naprapath-172P00000X</v>
      </c>
      <c r="U387" s="16" t="str">
        <f ca="1">IFERROR(VLOOKUP(ROWS($U$1:U386),$R$2:$S$918,2,FALSE),"")</f>
        <v>Naprapath-172P00000X</v>
      </c>
    </row>
    <row r="388" spans="1:21" x14ac:dyDescent="0.3">
      <c r="A388" s="21" t="s">
        <v>499</v>
      </c>
      <c r="B388" s="21" t="str">
        <f>Table1[[#This Row],[Code]]&amp;" "&amp;Table1[[#This Row],[Portico_Specialty]]</f>
        <v>175F00000X Naturopath</v>
      </c>
      <c r="C388" s="21" t="str">
        <f>CLEAN(Table1[[#This Row],[Code]])</f>
        <v>175F00000X</v>
      </c>
      <c r="D388" s="1" t="s">
        <v>500</v>
      </c>
      <c r="E388" s="1"/>
      <c r="F388" s="1" t="s">
        <v>2587</v>
      </c>
      <c r="G388" s="3" t="s">
        <v>2588</v>
      </c>
      <c r="H388" s="1" t="s">
        <v>2615</v>
      </c>
      <c r="I388" s="1"/>
      <c r="J388" s="1" t="s">
        <v>2795</v>
      </c>
      <c r="K388" s="1" t="s">
        <v>2590</v>
      </c>
      <c r="L388" s="1" t="s">
        <v>2795</v>
      </c>
      <c r="M388" s="1" t="s">
        <v>2795</v>
      </c>
      <c r="N388" s="1" t="s">
        <v>2795</v>
      </c>
      <c r="O388" s="1" t="s">
        <v>2590</v>
      </c>
      <c r="P388" s="9"/>
      <c r="R388" s="16">
        <f ca="1">IF(ISNUMBER(SEARCH(INDIRECT(CELL("address")),S388)),MAX($R$1:R387)+1,0)</f>
        <v>387</v>
      </c>
      <c r="S388" s="18" t="str">
        <f>Table1[[#This Row],[Portico_Specialty]]&amp;"-"&amp;Table1[[#This Row],[Code]]</f>
        <v>Naturopath-175F00000X</v>
      </c>
      <c r="U388" s="16" t="str">
        <f ca="1">IFERROR(VLOOKUP(ROWS($U$1:U387),$R$2:$S$918,2,FALSE),"")</f>
        <v>Naturopath-175F00000X</v>
      </c>
    </row>
    <row r="389" spans="1:21" x14ac:dyDescent="0.3">
      <c r="A389" s="21" t="s">
        <v>689</v>
      </c>
      <c r="B389" s="21" t="str">
        <f>Table1[[#This Row],[Code]]&amp;" "&amp;Table1[[#This Row],[Portico_Specialty]]</f>
        <v>207T00000X Neurological Surgery</v>
      </c>
      <c r="C389" s="21" t="str">
        <f>CLEAN(Table1[[#This Row],[Code]])</f>
        <v>207T00000X</v>
      </c>
      <c r="D389" s="1" t="s">
        <v>690</v>
      </c>
      <c r="E389" s="1"/>
      <c r="F389" s="1" t="s">
        <v>2587</v>
      </c>
      <c r="G389" s="4" t="s">
        <v>2593</v>
      </c>
      <c r="H389" s="1" t="s">
        <v>2796</v>
      </c>
      <c r="I389" s="1"/>
      <c r="J389" s="1" t="s">
        <v>2796</v>
      </c>
      <c r="K389" s="1" t="s">
        <v>2796</v>
      </c>
      <c r="L389" s="1" t="s">
        <v>2796</v>
      </c>
      <c r="M389" s="1" t="s">
        <v>2796</v>
      </c>
      <c r="N389" s="1" t="s">
        <v>2796</v>
      </c>
      <c r="O389" s="1" t="s">
        <v>2796</v>
      </c>
      <c r="P389" s="9"/>
      <c r="R389" s="16">
        <f ca="1">IF(ISNUMBER(SEARCH(INDIRECT(CELL("address")),S389)),MAX($R$1:R388)+1,0)</f>
        <v>388</v>
      </c>
      <c r="S389" s="18" t="str">
        <f>Table1[[#This Row],[Portico_Specialty]]&amp;"-"&amp;Table1[[#This Row],[Code]]</f>
        <v>Neurological Surgery-207T00000X</v>
      </c>
      <c r="U389" s="16" t="str">
        <f ca="1">IFERROR(VLOOKUP(ROWS($U$1:U388),$R$2:$S$918,2,FALSE),"")</f>
        <v>Neurological Surgery-207T00000X</v>
      </c>
    </row>
    <row r="390" spans="1:21" x14ac:dyDescent="0.3">
      <c r="A390" s="21" t="s">
        <v>549</v>
      </c>
      <c r="B390" s="21" t="str">
        <f>Table1[[#This Row],[Code]]&amp;" "&amp;Table1[[#This Row],[Portico_Specialty]]</f>
        <v>204D00000X Neuromusculoskeletal Medicine &amp; OMM</v>
      </c>
      <c r="C390" s="21" t="str">
        <f>CLEAN(Table1[[#This Row],[Code]])</f>
        <v>204D00000X</v>
      </c>
      <c r="D390" s="1" t="s">
        <v>550</v>
      </c>
      <c r="E390" s="1"/>
      <c r="F390" s="1" t="s">
        <v>2587</v>
      </c>
      <c r="G390" s="4" t="s">
        <v>2593</v>
      </c>
      <c r="H390" s="1" t="s">
        <v>2790</v>
      </c>
      <c r="I390" s="1"/>
      <c r="J390" s="1" t="s">
        <v>2790</v>
      </c>
      <c r="K390" s="1" t="s">
        <v>2790</v>
      </c>
      <c r="L390" s="1" t="s">
        <v>2790</v>
      </c>
      <c r="M390" s="1" t="s">
        <v>2790</v>
      </c>
      <c r="N390" s="1" t="s">
        <v>2790</v>
      </c>
      <c r="O390" s="1" t="s">
        <v>2790</v>
      </c>
      <c r="P390" s="9"/>
      <c r="R390" s="16">
        <f ca="1">IF(ISNUMBER(SEARCH(INDIRECT(CELL("address")),S390)),MAX($R$1:R389)+1,0)</f>
        <v>389</v>
      </c>
      <c r="S390" s="18" t="str">
        <f>Table1[[#This Row],[Portico_Specialty]]&amp;"-"&amp;Table1[[#This Row],[Code]]</f>
        <v>Neuromusculoskeletal Medicine &amp; OMM-204D00000X</v>
      </c>
      <c r="U390" s="16" t="str">
        <f ca="1">IFERROR(VLOOKUP(ROWS($U$1:U389),$R$2:$S$918,2,FALSE),"")</f>
        <v>Neuromusculoskeletal Medicine &amp; OMM-204D00000X</v>
      </c>
    </row>
    <row r="391" spans="1:21" ht="30.75" x14ac:dyDescent="0.3">
      <c r="A391" s="21" t="s">
        <v>547</v>
      </c>
      <c r="B391" s="21" t="str">
        <f>Table1[[#This Row],[Code]]&amp;" "&amp;Table1[[#This Row],[Portico_Specialty]]</f>
        <v>204C00000X Neuromusculoskeletal Medicine, Sports Medicine</v>
      </c>
      <c r="C391" s="21" t="str">
        <f>CLEAN(Table1[[#This Row],[Code]])</f>
        <v>204C00000X</v>
      </c>
      <c r="D391" s="1" t="s">
        <v>548</v>
      </c>
      <c r="E391" s="1"/>
      <c r="F391" s="1" t="s">
        <v>2587</v>
      </c>
      <c r="G391" s="4" t="s">
        <v>2593</v>
      </c>
      <c r="H391" s="1" t="s">
        <v>2790</v>
      </c>
      <c r="I391" s="1"/>
      <c r="J391" s="1" t="s">
        <v>2790</v>
      </c>
      <c r="K391" s="1" t="s">
        <v>2790</v>
      </c>
      <c r="L391" s="1" t="s">
        <v>2790</v>
      </c>
      <c r="M391" s="1" t="s">
        <v>2790</v>
      </c>
      <c r="N391" s="1" t="s">
        <v>2790</v>
      </c>
      <c r="O391" s="1" t="s">
        <v>2790</v>
      </c>
      <c r="P391" s="9"/>
      <c r="R391" s="16">
        <f ca="1">IF(ISNUMBER(SEARCH(INDIRECT(CELL("address")),S391)),MAX($R$1:R390)+1,0)</f>
        <v>390</v>
      </c>
      <c r="S391" s="18" t="str">
        <f>Table1[[#This Row],[Portico_Specialty]]&amp;"-"&amp;Table1[[#This Row],[Code]]</f>
        <v>Neuromusculoskeletal Medicine, Sports Medicine-204C00000X</v>
      </c>
      <c r="U391" s="16" t="str">
        <f ca="1">IFERROR(VLOOKUP(ROWS($U$1:U390),$R$2:$S$918,2,FALSE),"")</f>
        <v>Neuromusculoskeletal Medicine, Sports Medicine-204C00000X</v>
      </c>
    </row>
    <row r="392" spans="1:21" x14ac:dyDescent="0.3">
      <c r="A392" s="21" t="s">
        <v>1671</v>
      </c>
      <c r="B392" s="21" t="str">
        <f>Table1[[#This Row],[Code]]&amp;" "&amp;Table1[[#This Row],[Portico_Specialty]]</f>
        <v>343900000X Non-emergency Medical Transport (VAN)</v>
      </c>
      <c r="C392" s="21" t="str">
        <f>CLEAN(Table1[[#This Row],[Code]])</f>
        <v>343900000X</v>
      </c>
      <c r="D392" s="1" t="s">
        <v>1672</v>
      </c>
      <c r="E392" s="1"/>
      <c r="F392" s="1" t="s">
        <v>2587</v>
      </c>
      <c r="G392" s="3" t="s">
        <v>2588</v>
      </c>
      <c r="H392" s="1" t="s">
        <v>2595</v>
      </c>
      <c r="I392" s="1"/>
      <c r="J392" s="1" t="s">
        <v>2595</v>
      </c>
      <c r="K392" s="1" t="s">
        <v>2596</v>
      </c>
      <c r="L392" s="1" t="s">
        <v>2595</v>
      </c>
      <c r="M392" s="1" t="s">
        <v>2595</v>
      </c>
      <c r="N392" s="1" t="s">
        <v>2596</v>
      </c>
      <c r="O392" s="1" t="s">
        <v>2596</v>
      </c>
      <c r="P392" s="9"/>
      <c r="R392" s="16">
        <f ca="1">IF(ISNUMBER(SEARCH(INDIRECT(CELL("address")),S392)),MAX($R$1:R391)+1,0)</f>
        <v>391</v>
      </c>
      <c r="S392" s="18" t="str">
        <f>Table1[[#This Row],[Portico_Specialty]]&amp;"-"&amp;Table1[[#This Row],[Code]]</f>
        <v>Non-emergency Medical Transport (VAN)-343900000X</v>
      </c>
      <c r="U392" s="16" t="str">
        <f ca="1">IFERROR(VLOOKUP(ROWS($U$1:U391),$R$2:$S$918,2,FALSE),"")</f>
        <v>Non-emergency Medical Transport (VAN)-343900000X</v>
      </c>
    </row>
    <row r="393" spans="1:21" x14ac:dyDescent="0.3">
      <c r="A393" s="21" t="s">
        <v>1597</v>
      </c>
      <c r="B393" s="21" t="str">
        <f>Table1[[#This Row],[Code]]&amp;" "&amp;Table1[[#This Row],[Portico_Specialty]]</f>
        <v>332900000X Non-Pharmacy Dispensing Site</v>
      </c>
      <c r="C393" s="21" t="str">
        <f>CLEAN(Table1[[#This Row],[Code]])</f>
        <v>332900000X</v>
      </c>
      <c r="D393" s="1" t="s">
        <v>1598</v>
      </c>
      <c r="E393" s="1"/>
      <c r="F393" s="1" t="s">
        <v>2587</v>
      </c>
      <c r="G393" s="3" t="s">
        <v>2588</v>
      </c>
      <c r="H393" s="1" t="s">
        <v>2615</v>
      </c>
      <c r="I393" s="1"/>
      <c r="J393" s="1" t="s">
        <v>2590</v>
      </c>
      <c r="K393" s="1" t="s">
        <v>2590</v>
      </c>
      <c r="L393" s="1" t="s">
        <v>2615</v>
      </c>
      <c r="M393" s="1" t="s">
        <v>2615</v>
      </c>
      <c r="N393" s="1"/>
      <c r="O393" s="1" t="s">
        <v>2590</v>
      </c>
      <c r="P393" s="9"/>
      <c r="R393" s="16">
        <f ca="1">IF(ISNUMBER(SEARCH(INDIRECT(CELL("address")),S393)),MAX($R$1:R392)+1,0)</f>
        <v>392</v>
      </c>
      <c r="S393" s="18" t="str">
        <f>Table1[[#This Row],[Portico_Specialty]]&amp;"-"&amp;Table1[[#This Row],[Code]]</f>
        <v>Non-Pharmacy Dispensing Site-332900000X</v>
      </c>
      <c r="U393" s="16" t="str">
        <f ca="1">IFERROR(VLOOKUP(ROWS($U$1:U392),$R$2:$S$918,2,FALSE),"")</f>
        <v>Non-Pharmacy Dispensing Site-332900000X</v>
      </c>
    </row>
    <row r="394" spans="1:21" x14ac:dyDescent="0.3">
      <c r="A394" s="21" t="s">
        <v>691</v>
      </c>
      <c r="B394" s="21" t="str">
        <f>Table1[[#This Row],[Code]]&amp;" "&amp;Table1[[#This Row],[Portico_Specialty]]</f>
        <v>207U00000X Nuclear Medicine</v>
      </c>
      <c r="C394" s="21" t="str">
        <f>CLEAN(Table1[[#This Row],[Code]])</f>
        <v>207U00000X</v>
      </c>
      <c r="D394" s="1" t="s">
        <v>692</v>
      </c>
      <c r="E394" s="1"/>
      <c r="F394" s="1" t="s">
        <v>2587</v>
      </c>
      <c r="G394" s="4" t="s">
        <v>2593</v>
      </c>
      <c r="H394" s="1" t="s">
        <v>2797</v>
      </c>
      <c r="I394" s="1"/>
      <c r="J394" s="1" t="s">
        <v>2797</v>
      </c>
      <c r="K394" s="1" t="s">
        <v>2797</v>
      </c>
      <c r="L394" s="1" t="s">
        <v>2797</v>
      </c>
      <c r="M394" s="1" t="s">
        <v>2797</v>
      </c>
      <c r="N394" s="1" t="s">
        <v>2797</v>
      </c>
      <c r="O394" s="1" t="s">
        <v>2797</v>
      </c>
      <c r="P394" s="9"/>
      <c r="R394" s="16">
        <f ca="1">IF(ISNUMBER(SEARCH(INDIRECT(CELL("address")),S394)),MAX($R$1:R393)+1,0)</f>
        <v>393</v>
      </c>
      <c r="S394" s="18" t="str">
        <f>Table1[[#This Row],[Portico_Specialty]]&amp;"-"&amp;Table1[[#This Row],[Code]]</f>
        <v>Nuclear Medicine-207U00000X</v>
      </c>
      <c r="U394" s="16" t="str">
        <f ca="1">IFERROR(VLOOKUP(ROWS($U$1:U393),$R$2:$S$918,2,FALSE),"")</f>
        <v>Nuclear Medicine-207U00000X</v>
      </c>
    </row>
    <row r="395" spans="1:21" ht="30.75" x14ac:dyDescent="0.3">
      <c r="A395" s="21" t="s">
        <v>697</v>
      </c>
      <c r="B395" s="21" t="str">
        <f>Table1[[#This Row],[Code]]&amp;" "&amp;Table1[[#This Row],[Portico_Specialty]]</f>
        <v>207UN0903X Nuclear Medicine: In Vivo &amp; In Vitro Nuclear Medicine</v>
      </c>
      <c r="C395" s="21" t="str">
        <f>CLEAN(Table1[[#This Row],[Code]])</f>
        <v>207UN0903X</v>
      </c>
      <c r="D395" s="1" t="s">
        <v>698</v>
      </c>
      <c r="E395" s="1"/>
      <c r="F395" s="1" t="s">
        <v>2587</v>
      </c>
      <c r="G395" s="4" t="s">
        <v>2593</v>
      </c>
      <c r="H395" s="1" t="s">
        <v>2797</v>
      </c>
      <c r="I395" s="1"/>
      <c r="J395" s="1" t="s">
        <v>2797</v>
      </c>
      <c r="K395" s="1" t="s">
        <v>2797</v>
      </c>
      <c r="L395" s="1" t="s">
        <v>2797</v>
      </c>
      <c r="M395" s="1" t="s">
        <v>2797</v>
      </c>
      <c r="N395" s="1" t="s">
        <v>2797</v>
      </c>
      <c r="O395" s="1" t="s">
        <v>2797</v>
      </c>
      <c r="P395" s="9"/>
      <c r="R395" s="16">
        <f ca="1">IF(ISNUMBER(SEARCH(INDIRECT(CELL("address")),S395)),MAX($R$1:R394)+1,0)</f>
        <v>394</v>
      </c>
      <c r="S395" s="18" t="str">
        <f>Table1[[#This Row],[Portico_Specialty]]&amp;"-"&amp;Table1[[#This Row],[Code]]</f>
        <v>Nuclear Medicine: In Vivo &amp; In Vitro Nuclear Medicine-207UN0903X</v>
      </c>
      <c r="U395" s="16" t="str">
        <f ca="1">IFERROR(VLOOKUP(ROWS($U$1:U394),$R$2:$S$918,2,FALSE),"")</f>
        <v>Nuclear Medicine: In Vivo &amp; In Vitro Nuclear Medicine-207UN0903X</v>
      </c>
    </row>
    <row r="396" spans="1:21" x14ac:dyDescent="0.3">
      <c r="A396" s="21" t="s">
        <v>693</v>
      </c>
      <c r="B396" s="21" t="str">
        <f>Table1[[#This Row],[Code]]&amp;" "&amp;Table1[[#This Row],[Portico_Specialty]]</f>
        <v>207UN0901X Nuclear Medicine: Nuclear Cardiology</v>
      </c>
      <c r="C396" s="21" t="str">
        <f>CLEAN(Table1[[#This Row],[Code]])</f>
        <v>207UN0901X</v>
      </c>
      <c r="D396" s="1" t="s">
        <v>694</v>
      </c>
      <c r="E396" s="1"/>
      <c r="F396" s="1" t="s">
        <v>2587</v>
      </c>
      <c r="G396" s="4" t="s">
        <v>2593</v>
      </c>
      <c r="H396" s="1" t="s">
        <v>2797</v>
      </c>
      <c r="I396" s="1"/>
      <c r="J396" s="1" t="s">
        <v>2797</v>
      </c>
      <c r="K396" s="1" t="s">
        <v>2720</v>
      </c>
      <c r="L396" s="1" t="s">
        <v>2797</v>
      </c>
      <c r="M396" s="1" t="s">
        <v>2797</v>
      </c>
      <c r="N396" s="1" t="s">
        <v>2797</v>
      </c>
      <c r="O396" s="1" t="s">
        <v>2720</v>
      </c>
      <c r="P396" s="9"/>
      <c r="R396" s="16">
        <f ca="1">IF(ISNUMBER(SEARCH(INDIRECT(CELL("address")),S396)),MAX($R$1:R395)+1,0)</f>
        <v>395</v>
      </c>
      <c r="S396" s="18" t="str">
        <f>Table1[[#This Row],[Portico_Specialty]]&amp;"-"&amp;Table1[[#This Row],[Code]]</f>
        <v>Nuclear Medicine: Nuclear Cardiology-207UN0901X</v>
      </c>
      <c r="U396" s="16" t="str">
        <f ca="1">IFERROR(VLOOKUP(ROWS($U$1:U395),$R$2:$S$918,2,FALSE),"")</f>
        <v>Nuclear Medicine: Nuclear Cardiology-207UN0901X</v>
      </c>
    </row>
    <row r="397" spans="1:21" ht="30.75" x14ac:dyDescent="0.3">
      <c r="A397" s="21" t="s">
        <v>695</v>
      </c>
      <c r="B397" s="21" t="str">
        <f>Table1[[#This Row],[Code]]&amp;" "&amp;Table1[[#This Row],[Portico_Specialty]]</f>
        <v>207UN0902X Nuclear Medicine: Nuclear Imaging &amp; Therapy</v>
      </c>
      <c r="C397" s="21" t="str">
        <f>CLEAN(Table1[[#This Row],[Code]])</f>
        <v>207UN0902X</v>
      </c>
      <c r="D397" s="1" t="s">
        <v>696</v>
      </c>
      <c r="E397" s="1"/>
      <c r="F397" s="1" t="s">
        <v>2587</v>
      </c>
      <c r="G397" s="4" t="s">
        <v>2593</v>
      </c>
      <c r="H397" s="1" t="s">
        <v>2797</v>
      </c>
      <c r="I397" s="1"/>
      <c r="J397" s="1" t="s">
        <v>2797</v>
      </c>
      <c r="K397" s="1" t="s">
        <v>2797</v>
      </c>
      <c r="L397" s="1" t="s">
        <v>2797</v>
      </c>
      <c r="M397" s="1" t="s">
        <v>2797</v>
      </c>
      <c r="N397" s="1" t="s">
        <v>2797</v>
      </c>
      <c r="O397" s="1" t="s">
        <v>2797</v>
      </c>
      <c r="P397" s="9"/>
      <c r="R397" s="16">
        <f ca="1">IF(ISNUMBER(SEARCH(INDIRECT(CELL("address")),S397)),MAX($R$1:R396)+1,0)</f>
        <v>396</v>
      </c>
      <c r="S397" s="18" t="str">
        <f>Table1[[#This Row],[Portico_Specialty]]&amp;"-"&amp;Table1[[#This Row],[Code]]</f>
        <v>Nuclear Medicine: Nuclear Imaging &amp; Therapy-207UN0902X</v>
      </c>
      <c r="U397" s="16" t="str">
        <f ca="1">IFERROR(VLOOKUP(ROWS($U$1:U396),$R$2:$S$918,2,FALSE),"")</f>
        <v>Nuclear Medicine: Nuclear Imaging &amp; Therapy-207UN0902X</v>
      </c>
    </row>
    <row r="398" spans="1:21" x14ac:dyDescent="0.3">
      <c r="A398" s="21" t="s">
        <v>1795</v>
      </c>
      <c r="B398" s="21" t="str">
        <f>Table1[[#This Row],[Code]]&amp;" "&amp;Table1[[#This Row],[Portico_Specialty]]</f>
        <v>367500000X Nurse Anesthetist, Certified Registered</v>
      </c>
      <c r="C398" s="21" t="str">
        <f>CLEAN(Table1[[#This Row],[Code]])</f>
        <v>367500000X</v>
      </c>
      <c r="D398" s="1" t="s">
        <v>1796</v>
      </c>
      <c r="E398" s="1"/>
      <c r="F398" s="1" t="s">
        <v>2587</v>
      </c>
      <c r="G398" s="4" t="s">
        <v>2593</v>
      </c>
      <c r="H398" s="1" t="s">
        <v>2603</v>
      </c>
      <c r="I398" s="1"/>
      <c r="J398" s="1" t="s">
        <v>2603</v>
      </c>
      <c r="K398" s="1" t="s">
        <v>2603</v>
      </c>
      <c r="L398" s="1" t="s">
        <v>2603</v>
      </c>
      <c r="M398" s="1" t="s">
        <v>2603</v>
      </c>
      <c r="N398" s="1" t="s">
        <v>2603</v>
      </c>
      <c r="O398" s="1" t="s">
        <v>2603</v>
      </c>
      <c r="P398" s="9"/>
      <c r="R398" s="16">
        <f ca="1">IF(ISNUMBER(SEARCH(INDIRECT(CELL("address")),S398)),MAX($R$1:R397)+1,0)</f>
        <v>397</v>
      </c>
      <c r="S398" s="18" t="str">
        <f>Table1[[#This Row],[Portico_Specialty]]&amp;"-"&amp;Table1[[#This Row],[Code]]</f>
        <v>Nurse Anesthetist, Certified Registered-367500000X</v>
      </c>
      <c r="U398" s="16" t="str">
        <f ca="1">IFERROR(VLOOKUP(ROWS($U$1:U397),$R$2:$S$918,2,FALSE),"")</f>
        <v>Nurse Anesthetist, Certified Registered-367500000X</v>
      </c>
    </row>
    <row r="399" spans="1:21" x14ac:dyDescent="0.3">
      <c r="A399" s="21" t="s">
        <v>1691</v>
      </c>
      <c r="B399" s="21" t="str">
        <f>Table1[[#This Row],[Code]]&amp;" "&amp;Table1[[#This Row],[Portico_Specialty]]</f>
        <v>363L00000X Nurse Practitioner</v>
      </c>
      <c r="C399" s="21" t="str">
        <f>CLEAN(Table1[[#This Row],[Code]])</f>
        <v>363L00000X</v>
      </c>
      <c r="D399" s="1" t="s">
        <v>1692</v>
      </c>
      <c r="E399" s="1"/>
      <c r="F399" s="4" t="s">
        <v>2619</v>
      </c>
      <c r="G399" s="4" t="s">
        <v>2593</v>
      </c>
      <c r="H399" s="1" t="s">
        <v>2758</v>
      </c>
      <c r="I399" s="1"/>
      <c r="J399" s="1" t="s">
        <v>2758</v>
      </c>
      <c r="K399" s="1" t="s">
        <v>2758</v>
      </c>
      <c r="L399" s="1" t="s">
        <v>2758</v>
      </c>
      <c r="M399" s="1" t="s">
        <v>2758</v>
      </c>
      <c r="N399" s="1" t="s">
        <v>2758</v>
      </c>
      <c r="O399" s="1" t="s">
        <v>2758</v>
      </c>
      <c r="P399" s="9"/>
      <c r="R399" s="16">
        <f ca="1">IF(ISNUMBER(SEARCH(INDIRECT(CELL("address")),S399)),MAX($R$1:R398)+1,0)</f>
        <v>398</v>
      </c>
      <c r="S399" s="18" t="str">
        <f>Table1[[#This Row],[Portico_Specialty]]&amp;"-"&amp;Table1[[#This Row],[Code]]</f>
        <v>Nurse Practitioner-363L00000X</v>
      </c>
      <c r="U399" s="16" t="str">
        <f ca="1">IFERROR(VLOOKUP(ROWS($U$1:U398),$R$2:$S$918,2,FALSE),"")</f>
        <v>Nurse Practitioner-363L00000X</v>
      </c>
    </row>
    <row r="400" spans="1:21" x14ac:dyDescent="0.3">
      <c r="A400" s="21" t="s">
        <v>1693</v>
      </c>
      <c r="B400" s="21" t="str">
        <f>Table1[[#This Row],[Code]]&amp;" "&amp;Table1[[#This Row],[Portico_Specialty]]</f>
        <v>363LA2100X Nurse Practitioner: Acute Care</v>
      </c>
      <c r="C400" s="21" t="str">
        <f>CLEAN(Table1[[#This Row],[Code]])</f>
        <v>363LA2100X</v>
      </c>
      <c r="D400" s="1" t="s">
        <v>1694</v>
      </c>
      <c r="E400" s="1"/>
      <c r="F400" s="4" t="s">
        <v>2619</v>
      </c>
      <c r="G400" s="4" t="s">
        <v>2593</v>
      </c>
      <c r="H400" s="1" t="s">
        <v>2758</v>
      </c>
      <c r="I400" s="1"/>
      <c r="J400" s="1" t="s">
        <v>2758</v>
      </c>
      <c r="K400" s="1" t="s">
        <v>2758</v>
      </c>
      <c r="L400" s="1" t="s">
        <v>2758</v>
      </c>
      <c r="M400" s="1" t="s">
        <v>2758</v>
      </c>
      <c r="N400" s="1" t="s">
        <v>2758</v>
      </c>
      <c r="O400" s="1" t="s">
        <v>2758</v>
      </c>
      <c r="P400" s="9"/>
      <c r="R400" s="16">
        <f ca="1">IF(ISNUMBER(SEARCH(INDIRECT(CELL("address")),S400)),MAX($R$1:R399)+1,0)</f>
        <v>399</v>
      </c>
      <c r="S400" s="18" t="str">
        <f>Table1[[#This Row],[Portico_Specialty]]&amp;"-"&amp;Table1[[#This Row],[Code]]</f>
        <v>Nurse Practitioner: Acute Care-363LA2100X</v>
      </c>
      <c r="U400" s="16" t="str">
        <f ca="1">IFERROR(VLOOKUP(ROWS($U$1:U399),$R$2:$S$918,2,FALSE),"")</f>
        <v>Nurse Practitioner: Acute Care-363LA2100X</v>
      </c>
    </row>
    <row r="401" spans="1:21" x14ac:dyDescent="0.3">
      <c r="A401" s="21" t="s">
        <v>1695</v>
      </c>
      <c r="B401" s="21" t="str">
        <f>Table1[[#This Row],[Code]]&amp;" "&amp;Table1[[#This Row],[Portico_Specialty]]</f>
        <v>363LA2200X Nurse Practitioner: Adult Health</v>
      </c>
      <c r="C401" s="21" t="str">
        <f>CLEAN(Table1[[#This Row],[Code]])</f>
        <v>363LA2200X</v>
      </c>
      <c r="D401" s="1" t="s">
        <v>1696</v>
      </c>
      <c r="E401" s="1"/>
      <c r="F401" s="1" t="s">
        <v>2587</v>
      </c>
      <c r="G401" s="4" t="s">
        <v>2593</v>
      </c>
      <c r="H401" s="1" t="s">
        <v>2758</v>
      </c>
      <c r="I401" s="1"/>
      <c r="J401" s="1" t="s">
        <v>2758</v>
      </c>
      <c r="K401" s="1" t="s">
        <v>2758</v>
      </c>
      <c r="L401" s="1" t="s">
        <v>2758</v>
      </c>
      <c r="M401" s="1" t="s">
        <v>2758</v>
      </c>
      <c r="N401" s="1" t="s">
        <v>2758</v>
      </c>
      <c r="O401" s="1" t="s">
        <v>2758</v>
      </c>
      <c r="P401" s="9"/>
      <c r="R401" s="16">
        <f ca="1">IF(ISNUMBER(SEARCH(INDIRECT(CELL("address")),S401)),MAX($R$1:R400)+1,0)</f>
        <v>400</v>
      </c>
      <c r="S401" s="18" t="str">
        <f>Table1[[#This Row],[Portico_Specialty]]&amp;"-"&amp;Table1[[#This Row],[Code]]</f>
        <v>Nurse Practitioner: Adult Health-363LA2200X</v>
      </c>
      <c r="U401" s="16" t="str">
        <f ca="1">IFERROR(VLOOKUP(ROWS($U$1:U400),$R$2:$S$918,2,FALSE),"")</f>
        <v>Nurse Practitioner: Adult Health-363LA2200X</v>
      </c>
    </row>
    <row r="402" spans="1:21" x14ac:dyDescent="0.3">
      <c r="A402" s="21" t="s">
        <v>1699</v>
      </c>
      <c r="B402" s="21" t="str">
        <f>Table1[[#This Row],[Code]]&amp;" "&amp;Table1[[#This Row],[Portico_Specialty]]</f>
        <v>363LC1500X Nurse Practitioner: Community Health</v>
      </c>
      <c r="C402" s="21" t="str">
        <f>CLEAN(Table1[[#This Row],[Code]])</f>
        <v>363LC1500X</v>
      </c>
      <c r="D402" s="1" t="s">
        <v>1700</v>
      </c>
      <c r="E402" s="1"/>
      <c r="F402" s="1" t="s">
        <v>2587</v>
      </c>
      <c r="G402" s="4" t="s">
        <v>2593</v>
      </c>
      <c r="H402" s="1" t="s">
        <v>2758</v>
      </c>
      <c r="I402" s="1"/>
      <c r="J402" s="1" t="s">
        <v>2758</v>
      </c>
      <c r="K402" s="1" t="s">
        <v>2758</v>
      </c>
      <c r="L402" s="1" t="s">
        <v>2758</v>
      </c>
      <c r="M402" s="1" t="s">
        <v>2758</v>
      </c>
      <c r="N402" s="1" t="s">
        <v>2758</v>
      </c>
      <c r="O402" s="1" t="s">
        <v>2758</v>
      </c>
      <c r="P402" s="9"/>
      <c r="R402" s="16">
        <f ca="1">IF(ISNUMBER(SEARCH(INDIRECT(CELL("address")),S402)),MAX($R$1:R401)+1,0)</f>
        <v>401</v>
      </c>
      <c r="S402" s="18" t="str">
        <f>Table1[[#This Row],[Portico_Specialty]]&amp;"-"&amp;Table1[[#This Row],[Code]]</f>
        <v>Nurse Practitioner: Community Health-363LC1500X</v>
      </c>
      <c r="U402" s="16" t="str">
        <f ca="1">IFERROR(VLOOKUP(ROWS($U$1:U401),$R$2:$S$918,2,FALSE),"")</f>
        <v>Nurse Practitioner: Community Health-363LC1500X</v>
      </c>
    </row>
    <row r="403" spans="1:21" x14ac:dyDescent="0.3">
      <c r="A403" s="21" t="s">
        <v>1697</v>
      </c>
      <c r="B403" s="21" t="str">
        <f>Table1[[#This Row],[Code]]&amp;" "&amp;Table1[[#This Row],[Portico_Specialty]]</f>
        <v>363LC0200X Nurse Practitioner: Critical Care Medicine</v>
      </c>
      <c r="C403" s="21" t="str">
        <f>CLEAN(Table1[[#This Row],[Code]])</f>
        <v>363LC0200X</v>
      </c>
      <c r="D403" s="1" t="s">
        <v>1698</v>
      </c>
      <c r="E403" s="1"/>
      <c r="F403" s="1" t="s">
        <v>2587</v>
      </c>
      <c r="G403" s="4" t="s">
        <v>2593</v>
      </c>
      <c r="H403" s="1" t="s">
        <v>2758</v>
      </c>
      <c r="I403" s="1"/>
      <c r="J403" s="1" t="s">
        <v>2758</v>
      </c>
      <c r="K403" s="1" t="s">
        <v>2758</v>
      </c>
      <c r="L403" s="1" t="s">
        <v>2758</v>
      </c>
      <c r="M403" s="1" t="s">
        <v>2758</v>
      </c>
      <c r="N403" s="1" t="s">
        <v>2758</v>
      </c>
      <c r="O403" s="1" t="s">
        <v>2758</v>
      </c>
      <c r="P403" s="9"/>
      <c r="R403" s="16">
        <f ca="1">IF(ISNUMBER(SEARCH(INDIRECT(CELL("address")),S403)),MAX($R$1:R402)+1,0)</f>
        <v>402</v>
      </c>
      <c r="S403" s="18" t="str">
        <f>Table1[[#This Row],[Portico_Specialty]]&amp;"-"&amp;Table1[[#This Row],[Code]]</f>
        <v>Nurse Practitioner: Critical Care Medicine-363LC0200X</v>
      </c>
      <c r="U403" s="16" t="str">
        <f ca="1">IFERROR(VLOOKUP(ROWS($U$1:U402),$R$2:$S$918,2,FALSE),"")</f>
        <v>Nurse Practitioner: Critical Care Medicine-363LC0200X</v>
      </c>
    </row>
    <row r="404" spans="1:21" x14ac:dyDescent="0.3">
      <c r="A404" s="21" t="s">
        <v>1701</v>
      </c>
      <c r="B404" s="21" t="str">
        <f>Table1[[#This Row],[Code]]&amp;" "&amp;Table1[[#This Row],[Portico_Specialty]]</f>
        <v>363LF0000X Nurse Practitioner: Family</v>
      </c>
      <c r="C404" s="21" t="str">
        <f>CLEAN(Table1[[#This Row],[Code]])</f>
        <v>363LF0000X</v>
      </c>
      <c r="D404" s="1" t="s">
        <v>1702</v>
      </c>
      <c r="E404" s="1"/>
      <c r="F404" s="1" t="s">
        <v>2587</v>
      </c>
      <c r="G404" s="4" t="s">
        <v>2593</v>
      </c>
      <c r="H404" s="1" t="s">
        <v>2758</v>
      </c>
      <c r="I404" s="1"/>
      <c r="J404" s="1" t="s">
        <v>2758</v>
      </c>
      <c r="K404" s="1" t="s">
        <v>2758</v>
      </c>
      <c r="L404" s="1" t="s">
        <v>2758</v>
      </c>
      <c r="M404" s="1" t="s">
        <v>2758</v>
      </c>
      <c r="N404" s="1" t="s">
        <v>2758</v>
      </c>
      <c r="O404" s="1" t="s">
        <v>2758</v>
      </c>
      <c r="P404" s="9"/>
      <c r="R404" s="16">
        <f ca="1">IF(ISNUMBER(SEARCH(INDIRECT(CELL("address")),S404)),MAX($R$1:R403)+1,0)</f>
        <v>403</v>
      </c>
      <c r="S404" s="18" t="str">
        <f>Table1[[#This Row],[Portico_Specialty]]&amp;"-"&amp;Table1[[#This Row],[Code]]</f>
        <v>Nurse Practitioner: Family-363LF0000X</v>
      </c>
      <c r="U404" s="16" t="str">
        <f ca="1">IFERROR(VLOOKUP(ROWS($U$1:U403),$R$2:$S$918,2,FALSE),"")</f>
        <v>Nurse Practitioner: Family-363LF0000X</v>
      </c>
    </row>
    <row r="405" spans="1:21" x14ac:dyDescent="0.3">
      <c r="A405" s="21" t="s">
        <v>1703</v>
      </c>
      <c r="B405" s="21" t="str">
        <f>Table1[[#This Row],[Code]]&amp;" "&amp;Table1[[#This Row],[Portico_Specialty]]</f>
        <v>363LG0600X Nurse Practitioner: Gerontology</v>
      </c>
      <c r="C405" s="21" t="str">
        <f>CLEAN(Table1[[#This Row],[Code]])</f>
        <v>363LG0600X</v>
      </c>
      <c r="D405" s="1" t="s">
        <v>1704</v>
      </c>
      <c r="E405" s="1"/>
      <c r="F405" s="1" t="s">
        <v>2587</v>
      </c>
      <c r="G405" s="4" t="s">
        <v>2593</v>
      </c>
      <c r="H405" s="1" t="s">
        <v>2758</v>
      </c>
      <c r="I405" s="1"/>
      <c r="J405" s="1" t="s">
        <v>2758</v>
      </c>
      <c r="K405" s="1" t="s">
        <v>2758</v>
      </c>
      <c r="L405" s="1" t="s">
        <v>2758</v>
      </c>
      <c r="M405" s="1" t="s">
        <v>2758</v>
      </c>
      <c r="N405" s="1" t="s">
        <v>2758</v>
      </c>
      <c r="O405" s="1" t="s">
        <v>2758</v>
      </c>
      <c r="P405" s="9"/>
      <c r="R405" s="16">
        <f ca="1">IF(ISNUMBER(SEARCH(INDIRECT(CELL("address")),S405)),MAX($R$1:R404)+1,0)</f>
        <v>404</v>
      </c>
      <c r="S405" s="18" t="str">
        <f>Table1[[#This Row],[Portico_Specialty]]&amp;"-"&amp;Table1[[#This Row],[Code]]</f>
        <v>Nurse Practitioner: Gerontology-363LG0600X</v>
      </c>
      <c r="U405" s="16" t="str">
        <f ca="1">IFERROR(VLOOKUP(ROWS($U$1:U404),$R$2:$S$918,2,FALSE),"")</f>
        <v>Nurse Practitioner: Gerontology-363LG0600X</v>
      </c>
    </row>
    <row r="406" spans="1:21" x14ac:dyDescent="0.3">
      <c r="A406" s="21" t="s">
        <v>1705</v>
      </c>
      <c r="B406" s="21" t="str">
        <f>Table1[[#This Row],[Code]]&amp;" "&amp;Table1[[#This Row],[Portico_Specialty]]</f>
        <v>363LN0000X Nurse Practitioner: Neonatal</v>
      </c>
      <c r="C406" s="21" t="str">
        <f>CLEAN(Table1[[#This Row],[Code]])</f>
        <v>363LN0000X</v>
      </c>
      <c r="D406" s="1" t="s">
        <v>1706</v>
      </c>
      <c r="E406" s="1"/>
      <c r="F406" s="1" t="s">
        <v>2587</v>
      </c>
      <c r="G406" s="4" t="s">
        <v>2593</v>
      </c>
      <c r="H406" s="1" t="s">
        <v>2758</v>
      </c>
      <c r="I406" s="1"/>
      <c r="J406" s="1" t="s">
        <v>2758</v>
      </c>
      <c r="K406" s="1" t="s">
        <v>2758</v>
      </c>
      <c r="L406" s="1" t="s">
        <v>2758</v>
      </c>
      <c r="M406" s="1" t="s">
        <v>2758</v>
      </c>
      <c r="N406" s="1" t="s">
        <v>2758</v>
      </c>
      <c r="O406" s="1" t="s">
        <v>2758</v>
      </c>
      <c r="P406" s="9"/>
      <c r="R406" s="16">
        <f ca="1">IF(ISNUMBER(SEARCH(INDIRECT(CELL("address")),S406)),MAX($R$1:R405)+1,0)</f>
        <v>405</v>
      </c>
      <c r="S406" s="18" t="str">
        <f>Table1[[#This Row],[Portico_Specialty]]&amp;"-"&amp;Table1[[#This Row],[Code]]</f>
        <v>Nurse Practitioner: Neonatal-363LN0000X</v>
      </c>
      <c r="U406" s="16" t="str">
        <f ca="1">IFERROR(VLOOKUP(ROWS($U$1:U405),$R$2:$S$918,2,FALSE),"")</f>
        <v>Nurse Practitioner: Neonatal-363LN0000X</v>
      </c>
    </row>
    <row r="407" spans="1:21" x14ac:dyDescent="0.3">
      <c r="A407" s="21" t="s">
        <v>1707</v>
      </c>
      <c r="B407" s="21" t="str">
        <f>Table1[[#This Row],[Code]]&amp;" "&amp;Table1[[#This Row],[Portico_Specialty]]</f>
        <v>363LN0005X Nurse Practitioner: Neonatal, Critical Care</v>
      </c>
      <c r="C407" s="21" t="str">
        <f>CLEAN(Table1[[#This Row],[Code]])</f>
        <v>363LN0005X</v>
      </c>
      <c r="D407" s="1" t="s">
        <v>1708</v>
      </c>
      <c r="E407" s="1"/>
      <c r="F407" s="1" t="s">
        <v>2587</v>
      </c>
      <c r="G407" s="4" t="s">
        <v>2593</v>
      </c>
      <c r="H407" s="1" t="s">
        <v>2758</v>
      </c>
      <c r="I407" s="1"/>
      <c r="J407" s="1" t="s">
        <v>2798</v>
      </c>
      <c r="K407" s="1" t="s">
        <v>2758</v>
      </c>
      <c r="L407" s="1" t="s">
        <v>2758</v>
      </c>
      <c r="M407" s="1" t="s">
        <v>2798</v>
      </c>
      <c r="N407" s="1" t="s">
        <v>2758</v>
      </c>
      <c r="O407" s="1" t="s">
        <v>2758</v>
      </c>
      <c r="P407" s="9"/>
      <c r="R407" s="16">
        <f ca="1">IF(ISNUMBER(SEARCH(INDIRECT(CELL("address")),S407)),MAX($R$1:R406)+1,0)</f>
        <v>406</v>
      </c>
      <c r="S407" s="18" t="str">
        <f>Table1[[#This Row],[Portico_Specialty]]&amp;"-"&amp;Table1[[#This Row],[Code]]</f>
        <v>Nurse Practitioner: Neonatal, Critical Care-363LN0005X</v>
      </c>
      <c r="U407" s="16" t="str">
        <f ca="1">IFERROR(VLOOKUP(ROWS($U$1:U406),$R$2:$S$918,2,FALSE),"")</f>
        <v>Nurse Practitioner: Neonatal, Critical Care-363LN0005X</v>
      </c>
    </row>
    <row r="408" spans="1:21" x14ac:dyDescent="0.3">
      <c r="A408" s="21" t="s">
        <v>1723</v>
      </c>
      <c r="B408" s="21" t="str">
        <f>Table1[[#This Row],[Code]]&amp;" "&amp;Table1[[#This Row],[Portico_Specialty]]</f>
        <v>363LX0001X Nurse Practitioner: Obstetrics &amp; Gynecology</v>
      </c>
      <c r="C408" s="21" t="str">
        <f>CLEAN(Table1[[#This Row],[Code]])</f>
        <v>363LX0001X</v>
      </c>
      <c r="D408" s="1" t="s">
        <v>1724</v>
      </c>
      <c r="E408" s="1"/>
      <c r="F408" s="1" t="s">
        <v>2587</v>
      </c>
      <c r="G408" s="4" t="s">
        <v>2593</v>
      </c>
      <c r="H408" s="1" t="s">
        <v>2758</v>
      </c>
      <c r="I408" s="1"/>
      <c r="J408" s="1" t="s">
        <v>2758</v>
      </c>
      <c r="K408" s="1" t="s">
        <v>2758</v>
      </c>
      <c r="L408" s="1" t="s">
        <v>2758</v>
      </c>
      <c r="M408" s="1" t="s">
        <v>2758</v>
      </c>
      <c r="N408" s="1" t="s">
        <v>2758</v>
      </c>
      <c r="O408" s="1" t="s">
        <v>2758</v>
      </c>
      <c r="P408" s="9"/>
      <c r="R408" s="16">
        <f ca="1">IF(ISNUMBER(SEARCH(INDIRECT(CELL("address")),S408)),MAX($R$1:R407)+1,0)</f>
        <v>407</v>
      </c>
      <c r="S408" s="18" t="str">
        <f>Table1[[#This Row],[Portico_Specialty]]&amp;"-"&amp;Table1[[#This Row],[Code]]</f>
        <v>Nurse Practitioner: Obstetrics &amp; Gynecology-363LX0001X</v>
      </c>
      <c r="U408" s="16" t="str">
        <f ca="1">IFERROR(VLOOKUP(ROWS($U$1:U407),$R$2:$S$918,2,FALSE),"")</f>
        <v>Nurse Practitioner: Obstetrics &amp; Gynecology-363LX0001X</v>
      </c>
    </row>
    <row r="409" spans="1:21" x14ac:dyDescent="0.3">
      <c r="A409" s="21" t="s">
        <v>1725</v>
      </c>
      <c r="B409" s="21" t="str">
        <f>Table1[[#This Row],[Code]]&amp;" "&amp;Table1[[#This Row],[Portico_Specialty]]</f>
        <v>363LX0106X Nurse Practitioner: Occupational Health</v>
      </c>
      <c r="C409" s="21" t="str">
        <f>CLEAN(Table1[[#This Row],[Code]])</f>
        <v>363LX0106X</v>
      </c>
      <c r="D409" s="1" t="s">
        <v>1726</v>
      </c>
      <c r="E409" s="1"/>
      <c r="F409" s="1" t="s">
        <v>2587</v>
      </c>
      <c r="G409" s="4" t="s">
        <v>2593</v>
      </c>
      <c r="H409" s="1" t="s">
        <v>2758</v>
      </c>
      <c r="I409" s="1"/>
      <c r="J409" s="1" t="s">
        <v>2758</v>
      </c>
      <c r="K409" s="1" t="s">
        <v>2758</v>
      </c>
      <c r="L409" s="1" t="s">
        <v>2758</v>
      </c>
      <c r="M409" s="1" t="s">
        <v>2758</v>
      </c>
      <c r="N409" s="1" t="s">
        <v>2758</v>
      </c>
      <c r="O409" s="1" t="s">
        <v>2758</v>
      </c>
      <c r="P409" s="9"/>
      <c r="R409" s="16">
        <f ca="1">IF(ISNUMBER(SEARCH(INDIRECT(CELL("address")),S409)),MAX($R$1:R408)+1,0)</f>
        <v>408</v>
      </c>
      <c r="S409" s="18" t="str">
        <f>Table1[[#This Row],[Portico_Specialty]]&amp;"-"&amp;Table1[[#This Row],[Code]]</f>
        <v>Nurse Practitioner: Occupational Health-363LX0106X</v>
      </c>
      <c r="U409" s="16" t="str">
        <f ca="1">IFERROR(VLOOKUP(ROWS($U$1:U408),$R$2:$S$918,2,FALSE),"")</f>
        <v>Nurse Practitioner: Occupational Health-363LX0106X</v>
      </c>
    </row>
    <row r="410" spans="1:21" x14ac:dyDescent="0.3">
      <c r="A410" s="21" t="s">
        <v>1709</v>
      </c>
      <c r="B410" s="21" t="str">
        <f>Table1[[#This Row],[Code]]&amp;" "&amp;Table1[[#This Row],[Portico_Specialty]]</f>
        <v>363LP0200X Nurse Practitioner: Pediatrics</v>
      </c>
      <c r="C410" s="21" t="str">
        <f>CLEAN(Table1[[#This Row],[Code]])</f>
        <v>363LP0200X</v>
      </c>
      <c r="D410" s="1" t="s">
        <v>1710</v>
      </c>
      <c r="E410" s="1"/>
      <c r="F410" s="1" t="s">
        <v>2587</v>
      </c>
      <c r="G410" s="4" t="s">
        <v>2593</v>
      </c>
      <c r="H410" s="1" t="s">
        <v>2758</v>
      </c>
      <c r="I410" s="1"/>
      <c r="J410" s="1" t="s">
        <v>2758</v>
      </c>
      <c r="K410" s="1" t="s">
        <v>2758</v>
      </c>
      <c r="L410" s="1" t="s">
        <v>2758</v>
      </c>
      <c r="M410" s="1" t="s">
        <v>2758</v>
      </c>
      <c r="N410" s="1" t="s">
        <v>2758</v>
      </c>
      <c r="O410" s="1" t="s">
        <v>2758</v>
      </c>
      <c r="P410" s="9"/>
      <c r="R410" s="16">
        <f ca="1">IF(ISNUMBER(SEARCH(INDIRECT(CELL("address")),S410)),MAX($R$1:R409)+1,0)</f>
        <v>409</v>
      </c>
      <c r="S410" s="18" t="str">
        <f>Table1[[#This Row],[Portico_Specialty]]&amp;"-"&amp;Table1[[#This Row],[Code]]</f>
        <v>Nurse Practitioner: Pediatrics-363LP0200X</v>
      </c>
      <c r="U410" s="16" t="str">
        <f ca="1">IFERROR(VLOOKUP(ROWS($U$1:U409),$R$2:$S$918,2,FALSE),"")</f>
        <v>Nurse Practitioner: Pediatrics-363LP0200X</v>
      </c>
    </row>
    <row r="411" spans="1:21" x14ac:dyDescent="0.3">
      <c r="A411" s="21" t="s">
        <v>1711</v>
      </c>
      <c r="B411" s="21" t="str">
        <f>Table1[[#This Row],[Code]]&amp;" "&amp;Table1[[#This Row],[Portico_Specialty]]</f>
        <v>363LP0222X Nurse Practitioner: Pediatrics, Critical Care</v>
      </c>
      <c r="C411" s="21" t="str">
        <f>CLEAN(Table1[[#This Row],[Code]])</f>
        <v>363LP0222X</v>
      </c>
      <c r="D411" s="1" t="s">
        <v>1712</v>
      </c>
      <c r="E411" s="1"/>
      <c r="F411" s="1" t="s">
        <v>2587</v>
      </c>
      <c r="G411" s="4" t="s">
        <v>2593</v>
      </c>
      <c r="H411" s="1" t="s">
        <v>2758</v>
      </c>
      <c r="I411" s="1"/>
      <c r="J411" s="1" t="s">
        <v>2758</v>
      </c>
      <c r="K411" s="1" t="s">
        <v>2758</v>
      </c>
      <c r="L411" s="1" t="s">
        <v>2758</v>
      </c>
      <c r="M411" s="1" t="s">
        <v>2758</v>
      </c>
      <c r="N411" s="1" t="s">
        <v>2758</v>
      </c>
      <c r="O411" s="1" t="s">
        <v>2758</v>
      </c>
      <c r="P411" s="9"/>
      <c r="R411" s="16">
        <f ca="1">IF(ISNUMBER(SEARCH(INDIRECT(CELL("address")),S411)),MAX($R$1:R410)+1,0)</f>
        <v>410</v>
      </c>
      <c r="S411" s="18" t="str">
        <f>Table1[[#This Row],[Portico_Specialty]]&amp;"-"&amp;Table1[[#This Row],[Code]]</f>
        <v>Nurse Practitioner: Pediatrics, Critical Care-363LP0222X</v>
      </c>
      <c r="U411" s="16" t="str">
        <f ca="1">IFERROR(VLOOKUP(ROWS($U$1:U410),$R$2:$S$918,2,FALSE),"")</f>
        <v>Nurse Practitioner: Pediatrics, Critical Care-363LP0222X</v>
      </c>
    </row>
    <row r="412" spans="1:21" x14ac:dyDescent="0.3">
      <c r="A412" s="21" t="s">
        <v>1715</v>
      </c>
      <c r="B412" s="21" t="str">
        <f>Table1[[#This Row],[Code]]&amp;" "&amp;Table1[[#This Row],[Portico_Specialty]]</f>
        <v>363LP1700X Nurse Practitioner: Perinatal</v>
      </c>
      <c r="C412" s="21" t="str">
        <f>CLEAN(Table1[[#This Row],[Code]])</f>
        <v>363LP1700X</v>
      </c>
      <c r="D412" s="1" t="s">
        <v>1716</v>
      </c>
      <c r="E412" s="1"/>
      <c r="F412" s="1" t="s">
        <v>2587</v>
      </c>
      <c r="G412" s="4" t="s">
        <v>2593</v>
      </c>
      <c r="H412" s="1" t="s">
        <v>2758</v>
      </c>
      <c r="I412" s="1"/>
      <c r="J412" s="1" t="s">
        <v>2758</v>
      </c>
      <c r="K412" s="1" t="s">
        <v>2758</v>
      </c>
      <c r="L412" s="1" t="s">
        <v>2758</v>
      </c>
      <c r="M412" s="1" t="s">
        <v>2758</v>
      </c>
      <c r="N412" s="1" t="s">
        <v>2758</v>
      </c>
      <c r="O412" s="1" t="s">
        <v>2758</v>
      </c>
      <c r="P412" s="9"/>
      <c r="R412" s="16">
        <f ca="1">IF(ISNUMBER(SEARCH(INDIRECT(CELL("address")),S412)),MAX($R$1:R411)+1,0)</f>
        <v>411</v>
      </c>
      <c r="S412" s="18" t="str">
        <f>Table1[[#This Row],[Portico_Specialty]]&amp;"-"&amp;Table1[[#This Row],[Code]]</f>
        <v>Nurse Practitioner: Perinatal-363LP1700X</v>
      </c>
      <c r="U412" s="16" t="str">
        <f ca="1">IFERROR(VLOOKUP(ROWS($U$1:U411),$R$2:$S$918,2,FALSE),"")</f>
        <v>Nurse Practitioner: Perinatal-363LP1700X</v>
      </c>
    </row>
    <row r="413" spans="1:21" x14ac:dyDescent="0.3">
      <c r="A413" s="21" t="s">
        <v>1717</v>
      </c>
      <c r="B413" s="21" t="str">
        <f>Table1[[#This Row],[Code]]&amp;" "&amp;Table1[[#This Row],[Portico_Specialty]]</f>
        <v>363LP2300X Nurse Practitioner: Primary Care</v>
      </c>
      <c r="C413" s="21" t="str">
        <f>CLEAN(Table1[[#This Row],[Code]])</f>
        <v>363LP2300X</v>
      </c>
      <c r="D413" s="1" t="s">
        <v>1718</v>
      </c>
      <c r="E413" s="1"/>
      <c r="F413" s="1" t="s">
        <v>2587</v>
      </c>
      <c r="G413" s="4" t="s">
        <v>2593</v>
      </c>
      <c r="H413" s="1" t="s">
        <v>2758</v>
      </c>
      <c r="I413" s="1"/>
      <c r="J413" s="1" t="s">
        <v>2758</v>
      </c>
      <c r="K413" s="1" t="s">
        <v>2758</v>
      </c>
      <c r="L413" s="1" t="s">
        <v>2758</v>
      </c>
      <c r="M413" s="1" t="s">
        <v>2758</v>
      </c>
      <c r="N413" s="1" t="s">
        <v>2758</v>
      </c>
      <c r="O413" s="1" t="s">
        <v>2758</v>
      </c>
      <c r="P413" s="9"/>
      <c r="R413" s="16">
        <f ca="1">IF(ISNUMBER(SEARCH(INDIRECT(CELL("address")),S413)),MAX($R$1:R412)+1,0)</f>
        <v>412</v>
      </c>
      <c r="S413" s="18" t="str">
        <f>Table1[[#This Row],[Portico_Specialty]]&amp;"-"&amp;Table1[[#This Row],[Code]]</f>
        <v>Nurse Practitioner: Primary Care-363LP2300X</v>
      </c>
      <c r="U413" s="16" t="str">
        <f ca="1">IFERROR(VLOOKUP(ROWS($U$1:U412),$R$2:$S$918,2,FALSE),"")</f>
        <v>Nurse Practitioner: Primary Care-363LP2300X</v>
      </c>
    </row>
    <row r="414" spans="1:21" x14ac:dyDescent="0.3">
      <c r="A414" s="21" t="s">
        <v>1713</v>
      </c>
      <c r="B414" s="21" t="str">
        <f>Table1[[#This Row],[Code]]&amp;" "&amp;Table1[[#This Row],[Portico_Specialty]]</f>
        <v>363LP0808X Nurse Practitioner: Psych/Mental Health</v>
      </c>
      <c r="C414" s="21" t="str">
        <f>CLEAN(Table1[[#This Row],[Code]])</f>
        <v>363LP0808X</v>
      </c>
      <c r="D414" s="1" t="s">
        <v>1714</v>
      </c>
      <c r="E414" s="1"/>
      <c r="F414" s="1" t="s">
        <v>2607</v>
      </c>
      <c r="G414" s="4" t="s">
        <v>2593</v>
      </c>
      <c r="H414" s="1" t="s">
        <v>2758</v>
      </c>
      <c r="I414" s="1"/>
      <c r="J414" s="1" t="s">
        <v>2758</v>
      </c>
      <c r="K414" s="1" t="s">
        <v>2758</v>
      </c>
      <c r="L414" s="1" t="s">
        <v>2758</v>
      </c>
      <c r="M414" s="1" t="s">
        <v>2758</v>
      </c>
      <c r="N414" s="1" t="s">
        <v>2758</v>
      </c>
      <c r="O414" s="1" t="s">
        <v>2758</v>
      </c>
      <c r="P414" s="9"/>
      <c r="R414" s="16">
        <f ca="1">IF(ISNUMBER(SEARCH(INDIRECT(CELL("address")),S414)),MAX($R$1:R413)+1,0)</f>
        <v>413</v>
      </c>
      <c r="S414" s="18" t="str">
        <f>Table1[[#This Row],[Portico_Specialty]]&amp;"-"&amp;Table1[[#This Row],[Code]]</f>
        <v>Nurse Practitioner: Psych/Mental Health-363LP0808X</v>
      </c>
      <c r="U414" s="16" t="str">
        <f ca="1">IFERROR(VLOOKUP(ROWS($U$1:U413),$R$2:$S$918,2,FALSE),"")</f>
        <v>Nurse Practitioner: Psych/Mental Health-363LP0808X</v>
      </c>
    </row>
    <row r="415" spans="1:21" x14ac:dyDescent="0.3">
      <c r="A415" s="21" t="s">
        <v>1719</v>
      </c>
      <c r="B415" s="21" t="str">
        <f>Table1[[#This Row],[Code]]&amp;" "&amp;Table1[[#This Row],[Portico_Specialty]]</f>
        <v>363LS0200X Nurse Practitioner: School</v>
      </c>
      <c r="C415" s="21" t="str">
        <f>CLEAN(Table1[[#This Row],[Code]])</f>
        <v>363LS0200X</v>
      </c>
      <c r="D415" s="1" t="s">
        <v>1720</v>
      </c>
      <c r="E415" s="1"/>
      <c r="F415" s="1" t="s">
        <v>2587</v>
      </c>
      <c r="G415" s="4" t="s">
        <v>2593</v>
      </c>
      <c r="H415" s="1" t="s">
        <v>2758</v>
      </c>
      <c r="I415" s="1"/>
      <c r="J415" s="1" t="s">
        <v>2758</v>
      </c>
      <c r="K415" s="1" t="s">
        <v>2758</v>
      </c>
      <c r="L415" s="1" t="s">
        <v>2758</v>
      </c>
      <c r="M415" s="1" t="s">
        <v>2758</v>
      </c>
      <c r="N415" s="1" t="s">
        <v>2758</v>
      </c>
      <c r="O415" s="1" t="s">
        <v>2758</v>
      </c>
      <c r="P415" s="9"/>
      <c r="R415" s="16">
        <f ca="1">IF(ISNUMBER(SEARCH(INDIRECT(CELL("address")),S415)),MAX($R$1:R414)+1,0)</f>
        <v>414</v>
      </c>
      <c r="S415" s="18" t="str">
        <f>Table1[[#This Row],[Portico_Specialty]]&amp;"-"&amp;Table1[[#This Row],[Code]]</f>
        <v>Nurse Practitioner: School-363LS0200X</v>
      </c>
      <c r="U415" s="16" t="str">
        <f ca="1">IFERROR(VLOOKUP(ROWS($U$1:U414),$R$2:$S$918,2,FALSE),"")</f>
        <v>Nurse Practitioner: School-363LS0200X</v>
      </c>
    </row>
    <row r="416" spans="1:21" x14ac:dyDescent="0.3">
      <c r="A416" s="21" t="s">
        <v>1721</v>
      </c>
      <c r="B416" s="21" t="str">
        <f>Table1[[#This Row],[Code]]&amp;" "&amp;Table1[[#This Row],[Portico_Specialty]]</f>
        <v>363LW0102X Nurse Practitioner: Womens Health</v>
      </c>
      <c r="C416" s="21" t="str">
        <f>CLEAN(Table1[[#This Row],[Code]])</f>
        <v>363LW0102X</v>
      </c>
      <c r="D416" s="1" t="s">
        <v>1722</v>
      </c>
      <c r="E416" s="1"/>
      <c r="F416" s="1" t="s">
        <v>2587</v>
      </c>
      <c r="G416" s="4" t="s">
        <v>2593</v>
      </c>
      <c r="H416" s="1" t="s">
        <v>2758</v>
      </c>
      <c r="I416" s="1"/>
      <c r="J416" s="1" t="s">
        <v>2758</v>
      </c>
      <c r="K416" s="1" t="s">
        <v>2758</v>
      </c>
      <c r="L416" s="1" t="s">
        <v>2758</v>
      </c>
      <c r="M416" s="1" t="s">
        <v>2758</v>
      </c>
      <c r="N416" s="1" t="s">
        <v>2758</v>
      </c>
      <c r="O416" s="1" t="s">
        <v>2758</v>
      </c>
      <c r="P416" s="9"/>
      <c r="R416" s="16">
        <f ca="1">IF(ISNUMBER(SEARCH(INDIRECT(CELL("address")),S416)),MAX($R$1:R415)+1,0)</f>
        <v>415</v>
      </c>
      <c r="S416" s="18" t="str">
        <f>Table1[[#This Row],[Portico_Specialty]]&amp;"-"&amp;Table1[[#This Row],[Code]]</f>
        <v>Nurse Practitioner: Womens Health-363LW0102X</v>
      </c>
      <c r="U416" s="16" t="str">
        <f ca="1">IFERROR(VLOOKUP(ROWS($U$1:U415),$R$2:$S$918,2,FALSE),"")</f>
        <v>Nurse Practitioner: Womens Health-363LW0102X</v>
      </c>
    </row>
    <row r="417" spans="1:21" x14ac:dyDescent="0.3">
      <c r="A417" s="21" t="s">
        <v>1825</v>
      </c>
      <c r="B417" s="21" t="str">
        <f>Table1[[#This Row],[Code]]&amp;" "&amp;Table1[[#This Row],[Portico_Specialty]]</f>
        <v>376K00000X Nurses  Aide</v>
      </c>
      <c r="C417" s="21" t="str">
        <f>CLEAN(Table1[[#This Row],[Code]])</f>
        <v>376K00000X</v>
      </c>
      <c r="D417" s="1" t="s">
        <v>1826</v>
      </c>
      <c r="E417" s="1"/>
      <c r="F417" s="1" t="s">
        <v>2587</v>
      </c>
      <c r="G417" s="3" t="s">
        <v>2588</v>
      </c>
      <c r="H417" s="1"/>
      <c r="I417" s="1"/>
      <c r="J417" s="1" t="s">
        <v>2590</v>
      </c>
      <c r="K417" s="1" t="s">
        <v>2682</v>
      </c>
      <c r="L417" s="1"/>
      <c r="M417" s="1"/>
      <c r="N417" s="1"/>
      <c r="O417" s="1" t="s">
        <v>2682</v>
      </c>
      <c r="P417" s="9"/>
      <c r="R417" s="16">
        <f ca="1">IF(ISNUMBER(SEARCH(INDIRECT(CELL("address")),S417)),MAX($R$1:R416)+1,0)</f>
        <v>416</v>
      </c>
      <c r="S417" s="18" t="str">
        <f>Table1[[#This Row],[Portico_Specialty]]&amp;"-"&amp;Table1[[#This Row],[Code]]</f>
        <v>Nurses  Aide-376K00000X</v>
      </c>
      <c r="U417" s="16" t="str">
        <f ca="1">IFERROR(VLOOKUP(ROWS($U$1:U416),$R$2:$S$918,2,FALSE),"")</f>
        <v>Nurses  Aide-376K00000X</v>
      </c>
    </row>
    <row r="418" spans="1:21" x14ac:dyDescent="0.3">
      <c r="A418" s="21" t="s">
        <v>1341</v>
      </c>
      <c r="B418" s="21" t="str">
        <f>Table1[[#This Row],[Code]]&amp;" "&amp;Table1[[#This Row],[Portico_Specialty]]</f>
        <v>251J00000X Nursing Care</v>
      </c>
      <c r="C418" s="21" t="str">
        <f>CLEAN(Table1[[#This Row],[Code]])</f>
        <v>251J00000X</v>
      </c>
      <c r="D418" s="1" t="s">
        <v>1342</v>
      </c>
      <c r="E418" s="1"/>
      <c r="F418" s="1" t="s">
        <v>2587</v>
      </c>
      <c r="G418" s="3" t="s">
        <v>2588</v>
      </c>
      <c r="H418" s="1" t="s">
        <v>2591</v>
      </c>
      <c r="I418" s="1"/>
      <c r="J418" s="1" t="s">
        <v>2591</v>
      </c>
      <c r="K418" s="1" t="s">
        <v>2591</v>
      </c>
      <c r="L418" s="1" t="s">
        <v>2591</v>
      </c>
      <c r="M418" s="1" t="s">
        <v>2591</v>
      </c>
      <c r="N418" s="1" t="s">
        <v>2590</v>
      </c>
      <c r="O418" s="1" t="s">
        <v>2591</v>
      </c>
      <c r="P418" s="9"/>
      <c r="R418" s="16">
        <f ca="1">IF(ISNUMBER(SEARCH(INDIRECT(CELL("address")),S418)),MAX($R$1:R417)+1,0)</f>
        <v>417</v>
      </c>
      <c r="S418" s="18" t="str">
        <f>Table1[[#This Row],[Portico_Specialty]]&amp;"-"&amp;Table1[[#This Row],[Code]]</f>
        <v>Nursing Care-251J00000X</v>
      </c>
      <c r="U418" s="16" t="str">
        <f ca="1">IFERROR(VLOOKUP(ROWS($U$1:U417),$R$2:$S$918,2,FALSE),"")</f>
        <v>Nursing Care-251J00000X</v>
      </c>
    </row>
    <row r="419" spans="1:21" x14ac:dyDescent="0.3">
      <c r="A419" s="21" t="s">
        <v>1561</v>
      </c>
      <c r="B419" s="21" t="str">
        <f>Table1[[#This Row],[Code]]&amp;" "&amp;Table1[[#This Row],[Portico_Specialty]]</f>
        <v>313M00000X Nursing Facility/Intermediate Care Facility</v>
      </c>
      <c r="C419" s="21" t="str">
        <f>CLEAN(Table1[[#This Row],[Code]])</f>
        <v>313M00000X</v>
      </c>
      <c r="D419" s="1" t="s">
        <v>1562</v>
      </c>
      <c r="E419" s="1"/>
      <c r="F419" s="1" t="s">
        <v>2587</v>
      </c>
      <c r="G419" s="4" t="s">
        <v>2593</v>
      </c>
      <c r="H419" s="1" t="s">
        <v>2598</v>
      </c>
      <c r="I419" s="1"/>
      <c r="J419" s="1" t="s">
        <v>2598</v>
      </c>
      <c r="K419" s="1" t="s">
        <v>2598</v>
      </c>
      <c r="L419" s="1" t="s">
        <v>2598</v>
      </c>
      <c r="M419" s="1" t="s">
        <v>2598</v>
      </c>
      <c r="N419" s="1" t="s">
        <v>2599</v>
      </c>
      <c r="O419" s="1" t="s">
        <v>2598</v>
      </c>
      <c r="P419" s="9"/>
      <c r="R419" s="16">
        <f ca="1">IF(ISNUMBER(SEARCH(INDIRECT(CELL("address")),S419)),MAX($R$1:R418)+1,0)</f>
        <v>418</v>
      </c>
      <c r="S419" s="18" t="str">
        <f>Table1[[#This Row],[Portico_Specialty]]&amp;"-"&amp;Table1[[#This Row],[Code]]</f>
        <v>Nursing Facility/Intermediate Care Facility-313M00000X</v>
      </c>
      <c r="U419" s="16" t="str">
        <f ca="1">IFERROR(VLOOKUP(ROWS($U$1:U418),$R$2:$S$918,2,FALSE),"")</f>
        <v>Nursing Facility/Intermediate Care Facility-313M00000X</v>
      </c>
    </row>
    <row r="420" spans="1:21" x14ac:dyDescent="0.3">
      <c r="A420" s="21" t="s">
        <v>1821</v>
      </c>
      <c r="B420" s="21" t="str">
        <f>Table1[[#This Row],[Code]]&amp;" "&amp;Table1[[#This Row],[Portico_Specialty]]</f>
        <v>376G00000X Nursing Home Administrator</v>
      </c>
      <c r="C420" s="21" t="str">
        <f>CLEAN(Table1[[#This Row],[Code]])</f>
        <v>376G00000X</v>
      </c>
      <c r="D420" s="1" t="s">
        <v>1822</v>
      </c>
      <c r="E420" s="1"/>
      <c r="F420" s="1" t="s">
        <v>2587</v>
      </c>
      <c r="G420" s="3" t="s">
        <v>2588</v>
      </c>
      <c r="H420" s="1" t="s">
        <v>2598</v>
      </c>
      <c r="I420" s="1"/>
      <c r="J420" s="1" t="s">
        <v>2590</v>
      </c>
      <c r="K420" s="1" t="s">
        <v>2590</v>
      </c>
      <c r="L420" s="1" t="s">
        <v>2598</v>
      </c>
      <c r="M420" s="1"/>
      <c r="N420" s="1" t="s">
        <v>2623</v>
      </c>
      <c r="O420" s="1" t="s">
        <v>2590</v>
      </c>
      <c r="P420" s="9"/>
      <c r="R420" s="16">
        <f ca="1">IF(ISNUMBER(SEARCH(INDIRECT(CELL("address")),S420)),MAX($R$1:R419)+1,0)</f>
        <v>419</v>
      </c>
      <c r="S420" s="18" t="str">
        <f>Table1[[#This Row],[Portico_Specialty]]&amp;"-"&amp;Table1[[#This Row],[Code]]</f>
        <v>Nursing Home Administrator-376G00000X</v>
      </c>
      <c r="U420" s="16" t="str">
        <f ca="1">IFERROR(VLOOKUP(ROWS($U$1:U419),$R$2:$S$918,2,FALSE),"")</f>
        <v>Nursing Home Administrator-376G00000X</v>
      </c>
    </row>
    <row r="421" spans="1:21" x14ac:dyDescent="0.3">
      <c r="A421" s="21" t="s">
        <v>267</v>
      </c>
      <c r="B421" s="21" t="str">
        <f>Table1[[#This Row],[Code]]&amp;" "&amp;Table1[[#This Row],[Portico_Specialty]]</f>
        <v>133N00000X Nutritionist</v>
      </c>
      <c r="C421" s="21" t="str">
        <f>CLEAN(Table1[[#This Row],[Code]])</f>
        <v>133N00000X</v>
      </c>
      <c r="D421" s="1" t="s">
        <v>268</v>
      </c>
      <c r="E421" s="1"/>
      <c r="F421" s="1" t="s">
        <v>2587</v>
      </c>
      <c r="G421" s="3" t="s">
        <v>2588</v>
      </c>
      <c r="H421" s="1" t="s">
        <v>2696</v>
      </c>
      <c r="I421" s="1"/>
      <c r="J421" s="1" t="s">
        <v>2696</v>
      </c>
      <c r="K421" s="1" t="s">
        <v>2696</v>
      </c>
      <c r="L421" s="1" t="s">
        <v>2696</v>
      </c>
      <c r="M421" s="1" t="s">
        <v>2696</v>
      </c>
      <c r="N421" s="1" t="s">
        <v>2697</v>
      </c>
      <c r="O421" s="1" t="s">
        <v>2696</v>
      </c>
      <c r="P421" s="9"/>
      <c r="R421" s="16">
        <f ca="1">IF(ISNUMBER(SEARCH(INDIRECT(CELL("address")),S421)),MAX($R$1:R420)+1,0)</f>
        <v>420</v>
      </c>
      <c r="S421" s="18" t="str">
        <f>Table1[[#This Row],[Portico_Specialty]]&amp;"-"&amp;Table1[[#This Row],[Code]]</f>
        <v>Nutritionist-133N00000X</v>
      </c>
      <c r="U421" s="16" t="str">
        <f ca="1">IFERROR(VLOOKUP(ROWS($U$1:U420),$R$2:$S$918,2,FALSE),"")</f>
        <v>Nutritionist-133N00000X</v>
      </c>
    </row>
    <row r="422" spans="1:21" x14ac:dyDescent="0.3">
      <c r="A422" s="21" t="s">
        <v>269</v>
      </c>
      <c r="B422" s="21" t="str">
        <f>Table1[[#This Row],[Code]]&amp;" "&amp;Table1[[#This Row],[Portico_Specialty]]</f>
        <v>133NN1002X Nutritionist: Nutrition, Education</v>
      </c>
      <c r="C422" s="21" t="str">
        <f>CLEAN(Table1[[#This Row],[Code]])</f>
        <v>133NN1002X</v>
      </c>
      <c r="D422" s="1" t="s">
        <v>270</v>
      </c>
      <c r="E422" s="1"/>
      <c r="F422" s="1" t="s">
        <v>2587</v>
      </c>
      <c r="G422" s="3" t="s">
        <v>2588</v>
      </c>
      <c r="H422" s="1" t="s">
        <v>2696</v>
      </c>
      <c r="I422" s="1"/>
      <c r="J422" s="1" t="s">
        <v>2696</v>
      </c>
      <c r="K422" s="1" t="s">
        <v>2696</v>
      </c>
      <c r="L422" s="1" t="s">
        <v>2696</v>
      </c>
      <c r="M422" s="1" t="s">
        <v>2696</v>
      </c>
      <c r="N422" s="1" t="s">
        <v>2697</v>
      </c>
      <c r="O422" s="1" t="s">
        <v>2696</v>
      </c>
      <c r="P422" s="9"/>
      <c r="R422" s="16">
        <f ca="1">IF(ISNUMBER(SEARCH(INDIRECT(CELL("address")),S422)),MAX($R$1:R421)+1,0)</f>
        <v>421</v>
      </c>
      <c r="S422" s="18" t="str">
        <f>Table1[[#This Row],[Portico_Specialty]]&amp;"-"&amp;Table1[[#This Row],[Code]]</f>
        <v>Nutritionist: Nutrition, Education-133NN1002X</v>
      </c>
      <c r="U422" s="16" t="str">
        <f ca="1">IFERROR(VLOOKUP(ROWS($U$1:U421),$R$2:$S$918,2,FALSE),"")</f>
        <v>Nutritionist: Nutrition, Education-133NN1002X</v>
      </c>
    </row>
    <row r="423" spans="1:21" x14ac:dyDescent="0.3">
      <c r="A423" s="21" t="s">
        <v>699</v>
      </c>
      <c r="B423" s="21" t="str">
        <f>Table1[[#This Row],[Code]]&amp;" "&amp;Table1[[#This Row],[Portico_Specialty]]</f>
        <v>207V00000X Obstetrics &amp; Gynecology</v>
      </c>
      <c r="C423" s="21" t="str">
        <f>CLEAN(Table1[[#This Row],[Code]])</f>
        <v>207V00000X</v>
      </c>
      <c r="D423" s="1" t="s">
        <v>700</v>
      </c>
      <c r="E423" s="1"/>
      <c r="F423" s="1" t="s">
        <v>2587</v>
      </c>
      <c r="G423" s="4" t="s">
        <v>2593</v>
      </c>
      <c r="H423" s="1" t="s">
        <v>2710</v>
      </c>
      <c r="I423" s="1"/>
      <c r="J423" s="1" t="s">
        <v>2710</v>
      </c>
      <c r="K423" s="1" t="s">
        <v>2710</v>
      </c>
      <c r="L423" s="1" t="s">
        <v>2710</v>
      </c>
      <c r="M423" s="1" t="s">
        <v>2710</v>
      </c>
      <c r="N423" s="1" t="s">
        <v>2710</v>
      </c>
      <c r="O423" s="1" t="s">
        <v>2710</v>
      </c>
      <c r="P423" s="9"/>
      <c r="R423" s="16">
        <f ca="1">IF(ISNUMBER(SEARCH(INDIRECT(CELL("address")),S423)),MAX($R$1:R422)+1,0)</f>
        <v>422</v>
      </c>
      <c r="S423" s="18" t="str">
        <f>Table1[[#This Row],[Portico_Specialty]]&amp;"-"&amp;Table1[[#This Row],[Code]]</f>
        <v>Obstetrics &amp; Gynecology-207V00000X</v>
      </c>
      <c r="U423" s="16" t="str">
        <f ca="1">IFERROR(VLOOKUP(ROWS($U$1:U422),$R$2:$S$918,2,FALSE),"")</f>
        <v>Obstetrics &amp; Gynecology-207V00000X</v>
      </c>
    </row>
    <row r="424" spans="1:21" ht="30.75" x14ac:dyDescent="0.3">
      <c r="A424" s="21" t="s">
        <v>703</v>
      </c>
      <c r="B424" s="21" t="str">
        <f>Table1[[#This Row],[Code]]&amp;" "&amp;Table1[[#This Row],[Portico_Specialty]]</f>
        <v>207VC0200X Obstetrics &amp; Gynecology: Critical Care Medicine</v>
      </c>
      <c r="C424" s="21" t="str">
        <f>CLEAN(Table1[[#This Row],[Code]])</f>
        <v>207VC0200X</v>
      </c>
      <c r="D424" s="1" t="s">
        <v>704</v>
      </c>
      <c r="E424" s="1"/>
      <c r="F424" s="1" t="s">
        <v>2587</v>
      </c>
      <c r="G424" s="4" t="s">
        <v>2593</v>
      </c>
      <c r="H424" s="1" t="s">
        <v>2710</v>
      </c>
      <c r="I424" s="1"/>
      <c r="J424" s="1" t="s">
        <v>2710</v>
      </c>
      <c r="K424" s="1" t="s">
        <v>2710</v>
      </c>
      <c r="L424" s="1" t="s">
        <v>2710</v>
      </c>
      <c r="M424" s="1" t="s">
        <v>2710</v>
      </c>
      <c r="N424" s="1" t="s">
        <v>2710</v>
      </c>
      <c r="O424" s="1" t="s">
        <v>2710</v>
      </c>
      <c r="P424" s="9"/>
      <c r="R424" s="16">
        <f ca="1">IF(ISNUMBER(SEARCH(INDIRECT(CELL("address")),S424)),MAX($R$1:R423)+1,0)</f>
        <v>423</v>
      </c>
      <c r="S424" s="18" t="str">
        <f>Table1[[#This Row],[Portico_Specialty]]&amp;"-"&amp;Table1[[#This Row],[Code]]</f>
        <v>Obstetrics &amp; Gynecology: Critical Care Medicine-207VC0200X</v>
      </c>
      <c r="U424" s="16" t="str">
        <f ca="1">IFERROR(VLOOKUP(ROWS($U$1:U423),$R$2:$S$918,2,FALSE),"")</f>
        <v>Obstetrics &amp; Gynecology: Critical Care Medicine-207VC0200X</v>
      </c>
    </row>
    <row r="425" spans="1:21" ht="30.75" x14ac:dyDescent="0.3">
      <c r="A425" s="21" t="s">
        <v>717</v>
      </c>
      <c r="B425" s="21" t="str">
        <f>Table1[[#This Row],[Code]]&amp;" "&amp;Table1[[#This Row],[Portico_Specialty]]</f>
        <v>207VX0201X Obstetrics &amp; Gynecology: Gynecologic Oncology</v>
      </c>
      <c r="C425" s="21" t="str">
        <f>CLEAN(Table1[[#This Row],[Code]])</f>
        <v>207VX0201X</v>
      </c>
      <c r="D425" s="1" t="s">
        <v>718</v>
      </c>
      <c r="E425" s="1"/>
      <c r="F425" s="1" t="s">
        <v>2587</v>
      </c>
      <c r="G425" s="4" t="s">
        <v>2593</v>
      </c>
      <c r="H425" s="1" t="s">
        <v>2799</v>
      </c>
      <c r="I425" s="1"/>
      <c r="J425" s="1" t="s">
        <v>2799</v>
      </c>
      <c r="K425" s="1" t="s">
        <v>2799</v>
      </c>
      <c r="L425" s="1" t="s">
        <v>2799</v>
      </c>
      <c r="M425" s="1" t="s">
        <v>2799</v>
      </c>
      <c r="N425" s="1" t="s">
        <v>2799</v>
      </c>
      <c r="O425" s="1" t="s">
        <v>2799</v>
      </c>
      <c r="P425" s="9"/>
      <c r="R425" s="16">
        <f ca="1">IF(ISNUMBER(SEARCH(INDIRECT(CELL("address")),S425)),MAX($R$1:R424)+1,0)</f>
        <v>424</v>
      </c>
      <c r="S425" s="18" t="str">
        <f>Table1[[#This Row],[Portico_Specialty]]&amp;"-"&amp;Table1[[#This Row],[Code]]</f>
        <v>Obstetrics &amp; Gynecology: Gynecologic Oncology-207VX0201X</v>
      </c>
      <c r="U425" s="16" t="str">
        <f ca="1">IFERROR(VLOOKUP(ROWS($U$1:U424),$R$2:$S$918,2,FALSE),"")</f>
        <v>Obstetrics &amp; Gynecology: Gynecologic Oncology-207VX0201X</v>
      </c>
    </row>
    <row r="426" spans="1:21" x14ac:dyDescent="0.3">
      <c r="A426" s="21" t="s">
        <v>709</v>
      </c>
      <c r="B426" s="21" t="str">
        <f>Table1[[#This Row],[Code]]&amp;" "&amp;Table1[[#This Row],[Portico_Specialty]]</f>
        <v>207VG0400X Obstetrics &amp; Gynecology: Gynecology</v>
      </c>
      <c r="C426" s="21" t="str">
        <f>CLEAN(Table1[[#This Row],[Code]])</f>
        <v>207VG0400X</v>
      </c>
      <c r="D426" s="1" t="s">
        <v>710</v>
      </c>
      <c r="E426" s="1"/>
      <c r="F426" s="1" t="s">
        <v>2587</v>
      </c>
      <c r="G426" s="4" t="s">
        <v>2593</v>
      </c>
      <c r="H426" s="1" t="s">
        <v>2710</v>
      </c>
      <c r="I426" s="1"/>
      <c r="J426" s="1" t="s">
        <v>2717</v>
      </c>
      <c r="K426" s="1" t="s">
        <v>2710</v>
      </c>
      <c r="L426" s="1" t="s">
        <v>2710</v>
      </c>
      <c r="M426" s="1" t="s">
        <v>2717</v>
      </c>
      <c r="N426" s="1" t="s">
        <v>2710</v>
      </c>
      <c r="O426" s="1" t="s">
        <v>2710</v>
      </c>
      <c r="P426" s="9"/>
      <c r="R426" s="16">
        <f ca="1">IF(ISNUMBER(SEARCH(INDIRECT(CELL("address")),S426)),MAX($R$1:R425)+1,0)</f>
        <v>425</v>
      </c>
      <c r="S426" s="18" t="str">
        <f>Table1[[#This Row],[Portico_Specialty]]&amp;"-"&amp;Table1[[#This Row],[Code]]</f>
        <v>Obstetrics &amp; Gynecology: Gynecology-207VG0400X</v>
      </c>
      <c r="U426" s="16" t="str">
        <f ca="1">IFERROR(VLOOKUP(ROWS($U$1:U425),$R$2:$S$918,2,FALSE),"")</f>
        <v>Obstetrics &amp; Gynecology: Gynecology-207VG0400X</v>
      </c>
    </row>
    <row r="427" spans="1:21" ht="30.75" x14ac:dyDescent="0.3">
      <c r="A427" s="21" t="s">
        <v>711</v>
      </c>
      <c r="B427" s="21" t="str">
        <f>Table1[[#This Row],[Code]]&amp;" "&amp;Table1[[#This Row],[Portico_Specialty]]</f>
        <v>207VH0002X Obstetrics &amp; Gynecology: Hospice and Palliative Medicine</v>
      </c>
      <c r="C427" s="21" t="str">
        <f>CLEAN(Table1[[#This Row],[Code]])</f>
        <v>207VH0002X</v>
      </c>
      <c r="D427" s="1" t="s">
        <v>712</v>
      </c>
      <c r="E427" s="1"/>
      <c r="F427" s="1" t="s">
        <v>2587</v>
      </c>
      <c r="G427" s="4" t="s">
        <v>2593</v>
      </c>
      <c r="H427" s="1" t="s">
        <v>2710</v>
      </c>
      <c r="I427" s="1"/>
      <c r="J427" s="1" t="s">
        <v>2710</v>
      </c>
      <c r="K427" s="1" t="s">
        <v>2710</v>
      </c>
      <c r="L427" s="1" t="s">
        <v>2710</v>
      </c>
      <c r="M427" s="1" t="s">
        <v>2710</v>
      </c>
      <c r="N427" s="1" t="s">
        <v>2710</v>
      </c>
      <c r="O427" s="1" t="s">
        <v>2710</v>
      </c>
      <c r="P427" s="9"/>
      <c r="R427" s="16">
        <f ca="1">IF(ISNUMBER(SEARCH(INDIRECT(CELL("address")),S427)),MAX($R$1:R426)+1,0)</f>
        <v>426</v>
      </c>
      <c r="S427" s="18" t="str">
        <f>Table1[[#This Row],[Portico_Specialty]]&amp;"-"&amp;Table1[[#This Row],[Code]]</f>
        <v>Obstetrics &amp; Gynecology: Hospice and Palliative Medicine-207VH0002X</v>
      </c>
      <c r="U427" s="16" t="str">
        <f ca="1">IFERROR(VLOOKUP(ROWS($U$1:U426),$R$2:$S$918,2,FALSE),"")</f>
        <v>Obstetrics &amp; Gynecology: Hospice and Palliative Medicine-207VH0002X</v>
      </c>
    </row>
    <row r="428" spans="1:21" ht="30.75" x14ac:dyDescent="0.3">
      <c r="A428" s="21" t="s">
        <v>713</v>
      </c>
      <c r="B428" s="21" t="str">
        <f>Table1[[#This Row],[Code]]&amp;" "&amp;Table1[[#This Row],[Portico_Specialty]]</f>
        <v>207VM0101X Obstetrics &amp; Gynecology: Maternal &amp; Fetal Medicine</v>
      </c>
      <c r="C428" s="21" t="str">
        <f>CLEAN(Table1[[#This Row],[Code]])</f>
        <v>207VM0101X</v>
      </c>
      <c r="D428" s="1" t="s">
        <v>714</v>
      </c>
      <c r="E428" s="1"/>
      <c r="F428" s="1" t="s">
        <v>2587</v>
      </c>
      <c r="G428" s="4" t="s">
        <v>2593</v>
      </c>
      <c r="H428" s="1" t="s">
        <v>2800</v>
      </c>
      <c r="I428" s="1"/>
      <c r="J428" s="1" t="s">
        <v>2800</v>
      </c>
      <c r="K428" s="1" t="s">
        <v>2710</v>
      </c>
      <c r="L428" s="1" t="s">
        <v>2800</v>
      </c>
      <c r="M428" s="1" t="s">
        <v>2800</v>
      </c>
      <c r="N428" s="1" t="s">
        <v>2710</v>
      </c>
      <c r="O428" s="1" t="s">
        <v>2710</v>
      </c>
      <c r="P428" s="9"/>
      <c r="R428" s="16">
        <f ca="1">IF(ISNUMBER(SEARCH(INDIRECT(CELL("address")),S428)),MAX($R$1:R427)+1,0)</f>
        <v>427</v>
      </c>
      <c r="S428" s="18" t="str">
        <f>Table1[[#This Row],[Portico_Specialty]]&amp;"-"&amp;Table1[[#This Row],[Code]]</f>
        <v>Obstetrics &amp; Gynecology: Maternal &amp; Fetal Medicine-207VM0101X</v>
      </c>
      <c r="U428" s="16" t="str">
        <f ca="1">IFERROR(VLOOKUP(ROWS($U$1:U427),$R$2:$S$918,2,FALSE),"")</f>
        <v>Obstetrics &amp; Gynecology: Maternal &amp; Fetal Medicine-207VM0101X</v>
      </c>
    </row>
    <row r="429" spans="1:21" x14ac:dyDescent="0.3">
      <c r="A429" s="21" t="s">
        <v>701</v>
      </c>
      <c r="B429" s="21" t="str">
        <f>Table1[[#This Row],[Code]]&amp;" "&amp;Table1[[#This Row],[Portico_Specialty]]</f>
        <v>207VB0002X Obstetrics &amp; Gynecology: Obesity Medicine</v>
      </c>
      <c r="C429" s="21" t="str">
        <f>CLEAN(Table1[[#This Row],[Code]])</f>
        <v>207VB0002X</v>
      </c>
      <c r="D429" s="1" t="s">
        <v>702</v>
      </c>
      <c r="E429" s="1"/>
      <c r="F429" s="1" t="s">
        <v>2587</v>
      </c>
      <c r="G429" s="4" t="s">
        <v>2593</v>
      </c>
      <c r="H429" s="1" t="s">
        <v>2710</v>
      </c>
      <c r="I429" s="1"/>
      <c r="J429" s="1" t="s">
        <v>2710</v>
      </c>
      <c r="K429" s="1" t="s">
        <v>2710</v>
      </c>
      <c r="L429" s="1" t="s">
        <v>2710</v>
      </c>
      <c r="M429" s="1" t="s">
        <v>2710</v>
      </c>
      <c r="N429" s="1" t="s">
        <v>2710</v>
      </c>
      <c r="O429" s="1" t="s">
        <v>2710</v>
      </c>
      <c r="P429" s="9"/>
      <c r="R429" s="16">
        <f ca="1">IF(ISNUMBER(SEARCH(INDIRECT(CELL("address")),S429)),MAX($R$1:R428)+1,0)</f>
        <v>428</v>
      </c>
      <c r="S429" s="18" t="str">
        <f>Table1[[#This Row],[Portico_Specialty]]&amp;"-"&amp;Table1[[#This Row],[Code]]</f>
        <v>Obstetrics &amp; Gynecology: Obesity Medicine-207VB0002X</v>
      </c>
      <c r="U429" s="16" t="str">
        <f ca="1">IFERROR(VLOOKUP(ROWS($U$1:U428),$R$2:$S$918,2,FALSE),"")</f>
        <v>Obstetrics &amp; Gynecology: Obesity Medicine-207VB0002X</v>
      </c>
    </row>
    <row r="430" spans="1:21" x14ac:dyDescent="0.3">
      <c r="A430" s="21" t="s">
        <v>715</v>
      </c>
      <c r="B430" s="21" t="str">
        <f>Table1[[#This Row],[Code]]&amp;" "&amp;Table1[[#This Row],[Portico_Specialty]]</f>
        <v>207VX0000X Obstetrics &amp; Gynecology: Obstetrics</v>
      </c>
      <c r="C430" s="21" t="str">
        <f>CLEAN(Table1[[#This Row],[Code]])</f>
        <v>207VX0000X</v>
      </c>
      <c r="D430" s="1" t="s">
        <v>716</v>
      </c>
      <c r="E430" s="1"/>
      <c r="F430" s="1" t="s">
        <v>2587</v>
      </c>
      <c r="G430" s="4" t="s">
        <v>2593</v>
      </c>
      <c r="H430" s="1" t="s">
        <v>2710</v>
      </c>
      <c r="I430" s="1"/>
      <c r="J430" s="1" t="s">
        <v>2710</v>
      </c>
      <c r="K430" s="1" t="s">
        <v>2710</v>
      </c>
      <c r="L430" s="1" t="s">
        <v>2710</v>
      </c>
      <c r="M430" s="1" t="s">
        <v>2710</v>
      </c>
      <c r="N430" s="1" t="s">
        <v>2710</v>
      </c>
      <c r="O430" s="1" t="s">
        <v>2710</v>
      </c>
      <c r="P430" s="9"/>
      <c r="R430" s="16">
        <f ca="1">IF(ISNUMBER(SEARCH(INDIRECT(CELL("address")),S430)),MAX($R$1:R429)+1,0)</f>
        <v>429</v>
      </c>
      <c r="S430" s="18" t="str">
        <f>Table1[[#This Row],[Portico_Specialty]]&amp;"-"&amp;Table1[[#This Row],[Code]]</f>
        <v>Obstetrics &amp; Gynecology: Obstetrics-207VX0000X</v>
      </c>
      <c r="U430" s="16" t="str">
        <f ca="1">IFERROR(VLOOKUP(ROWS($U$1:U429),$R$2:$S$918,2,FALSE),"")</f>
        <v>Obstetrics &amp; Gynecology: Obstetrics-207VX0000X</v>
      </c>
    </row>
    <row r="431" spans="1:21" ht="30.75" x14ac:dyDescent="0.3">
      <c r="A431" s="21" t="s">
        <v>705</v>
      </c>
      <c r="B431" s="21" t="str">
        <f>Table1[[#This Row],[Code]]&amp;" "&amp;Table1[[#This Row],[Portico_Specialty]]</f>
        <v>207VE0102X Obstetrics &amp; Gynecology: Reproductive Endocrinology</v>
      </c>
      <c r="C431" s="21" t="str">
        <f>CLEAN(Table1[[#This Row],[Code]])</f>
        <v>207VE0102X</v>
      </c>
      <c r="D431" s="1" t="s">
        <v>706</v>
      </c>
      <c r="E431" s="1"/>
      <c r="F431" s="1" t="s">
        <v>2587</v>
      </c>
      <c r="G431" s="4" t="s">
        <v>2593</v>
      </c>
      <c r="H431" s="1" t="s">
        <v>2710</v>
      </c>
      <c r="I431" s="1"/>
      <c r="J431" s="1" t="s">
        <v>2710</v>
      </c>
      <c r="K431" s="1" t="s">
        <v>2723</v>
      </c>
      <c r="L431" s="1" t="s">
        <v>2710</v>
      </c>
      <c r="M431" s="1" t="s">
        <v>2710</v>
      </c>
      <c r="N431" s="1" t="s">
        <v>2710</v>
      </c>
      <c r="O431" s="1" t="s">
        <v>2723</v>
      </c>
      <c r="P431" s="9"/>
      <c r="R431" s="16">
        <f ca="1">IF(ISNUMBER(SEARCH(INDIRECT(CELL("address")),S431)),MAX($R$1:R430)+1,0)</f>
        <v>430</v>
      </c>
      <c r="S431" s="18" t="str">
        <f>Table1[[#This Row],[Portico_Specialty]]&amp;"-"&amp;Table1[[#This Row],[Code]]</f>
        <v>Obstetrics &amp; Gynecology: Reproductive Endocrinology-207VE0102X</v>
      </c>
      <c r="U431" s="16" t="str">
        <f ca="1">IFERROR(VLOOKUP(ROWS($U$1:U430),$R$2:$S$918,2,FALSE),"")</f>
        <v>Obstetrics &amp; Gynecology: Reproductive Endocrinology-207VE0102X</v>
      </c>
    </row>
    <row r="432" spans="1:21" x14ac:dyDescent="0.3">
      <c r="A432" s="21" t="s">
        <v>1091</v>
      </c>
      <c r="B432" s="21" t="str">
        <f>Table1[[#This Row],[Code]]&amp;" "&amp;Table1[[#This Row],[Portico_Specialty]]</f>
        <v>225X00000X Occupational Therapist</v>
      </c>
      <c r="C432" s="21" t="str">
        <f>CLEAN(Table1[[#This Row],[Code]])</f>
        <v>225X00000X</v>
      </c>
      <c r="D432" s="1" t="s">
        <v>1092</v>
      </c>
      <c r="E432" s="1"/>
      <c r="F432" s="1" t="s">
        <v>2587</v>
      </c>
      <c r="G432" s="4" t="s">
        <v>2593</v>
      </c>
      <c r="H432" s="1" t="s">
        <v>2788</v>
      </c>
      <c r="I432" s="1"/>
      <c r="J432" s="1" t="s">
        <v>2788</v>
      </c>
      <c r="K432" s="1" t="s">
        <v>2788</v>
      </c>
      <c r="L432" s="1" t="s">
        <v>2788</v>
      </c>
      <c r="M432" s="1" t="s">
        <v>2788</v>
      </c>
      <c r="N432" s="1" t="s">
        <v>2788</v>
      </c>
      <c r="O432" s="1" t="s">
        <v>2788</v>
      </c>
      <c r="P432" s="9"/>
      <c r="R432" s="16">
        <f ca="1">IF(ISNUMBER(SEARCH(INDIRECT(CELL("address")),S432)),MAX($R$1:R431)+1,0)</f>
        <v>431</v>
      </c>
      <c r="S432" s="18" t="str">
        <f>Table1[[#This Row],[Portico_Specialty]]&amp;"-"&amp;Table1[[#This Row],[Code]]</f>
        <v>Occupational Therapist-225X00000X</v>
      </c>
      <c r="U432" s="16" t="str">
        <f ca="1">IFERROR(VLOOKUP(ROWS($U$1:U431),$R$2:$S$918,2,FALSE),"")</f>
        <v>Occupational Therapist-225X00000X</v>
      </c>
    </row>
    <row r="433" spans="1:21" ht="30.75" x14ac:dyDescent="0.3">
      <c r="A433" s="21" t="s">
        <v>1115</v>
      </c>
      <c r="B433" s="21" t="str">
        <f>Table1[[#This Row],[Code]]&amp;" "&amp;Table1[[#This Row],[Portico_Specialty]]</f>
        <v>225XR0403X Occupational Therapist: Driving and Community Mobility</v>
      </c>
      <c r="C433" s="21" t="str">
        <f>CLEAN(Table1[[#This Row],[Code]])</f>
        <v>225XR0403X</v>
      </c>
      <c r="D433" s="1" t="s">
        <v>1116</v>
      </c>
      <c r="E433" s="1"/>
      <c r="F433" s="1" t="s">
        <v>2587</v>
      </c>
      <c r="G433" s="4" t="s">
        <v>2593</v>
      </c>
      <c r="H433" s="1" t="s">
        <v>2788</v>
      </c>
      <c r="I433" s="1"/>
      <c r="J433" s="1" t="s">
        <v>2788</v>
      </c>
      <c r="K433" s="1" t="s">
        <v>2788</v>
      </c>
      <c r="L433" s="1" t="s">
        <v>2788</v>
      </c>
      <c r="M433" s="1" t="s">
        <v>2788</v>
      </c>
      <c r="N433" s="1" t="s">
        <v>2788</v>
      </c>
      <c r="O433" s="1" t="s">
        <v>2788</v>
      </c>
      <c r="P433" s="9"/>
      <c r="R433" s="16">
        <f ca="1">IF(ISNUMBER(SEARCH(INDIRECT(CELL("address")),S433)),MAX($R$1:R432)+1,0)</f>
        <v>432</v>
      </c>
      <c r="S433" s="18" t="str">
        <f>Table1[[#This Row],[Portico_Specialty]]&amp;"-"&amp;Table1[[#This Row],[Code]]</f>
        <v>Occupational Therapist: Driving and Community Mobility-225XR0403X</v>
      </c>
      <c r="U433" s="16" t="str">
        <f ca="1">IFERROR(VLOOKUP(ROWS($U$1:U432),$R$2:$S$918,2,FALSE),"")</f>
        <v>Occupational Therapist: Driving and Community Mobility-225XR0403X</v>
      </c>
    </row>
    <row r="434" spans="1:21" ht="30.75" x14ac:dyDescent="0.3">
      <c r="A434" s="21" t="s">
        <v>1093</v>
      </c>
      <c r="B434" s="21" t="str">
        <f>Table1[[#This Row],[Code]]&amp;" "&amp;Table1[[#This Row],[Portico_Specialty]]</f>
        <v>225XE0001X Occupational Therapist: Environmental Modification</v>
      </c>
      <c r="C434" s="21" t="str">
        <f>CLEAN(Table1[[#This Row],[Code]])</f>
        <v>225XE0001X</v>
      </c>
      <c r="D434" s="1" t="s">
        <v>1094</v>
      </c>
      <c r="E434" s="1"/>
      <c r="F434" s="1" t="s">
        <v>2587</v>
      </c>
      <c r="G434" s="4" t="s">
        <v>2593</v>
      </c>
      <c r="H434" s="1" t="s">
        <v>2788</v>
      </c>
      <c r="I434" s="1"/>
      <c r="J434" s="1" t="s">
        <v>2788</v>
      </c>
      <c r="K434" s="1" t="s">
        <v>2788</v>
      </c>
      <c r="L434" s="1" t="s">
        <v>2788</v>
      </c>
      <c r="M434" s="1" t="s">
        <v>2788</v>
      </c>
      <c r="N434" s="1" t="s">
        <v>2788</v>
      </c>
      <c r="O434" s="1" t="s">
        <v>2788</v>
      </c>
      <c r="P434" s="9"/>
      <c r="R434" s="16">
        <f ca="1">IF(ISNUMBER(SEARCH(INDIRECT(CELL("address")),S434)),MAX($R$1:R433)+1,0)</f>
        <v>433</v>
      </c>
      <c r="S434" s="18" t="str">
        <f>Table1[[#This Row],[Portico_Specialty]]&amp;"-"&amp;Table1[[#This Row],[Code]]</f>
        <v>Occupational Therapist: Environmental Modification-225XE0001X</v>
      </c>
      <c r="U434" s="16" t="str">
        <f ca="1">IFERROR(VLOOKUP(ROWS($U$1:U433),$R$2:$S$918,2,FALSE),"")</f>
        <v>Occupational Therapist: Environmental Modification-225XE0001X</v>
      </c>
    </row>
    <row r="435" spans="1:21" x14ac:dyDescent="0.3">
      <c r="A435" s="21" t="s">
        <v>1095</v>
      </c>
      <c r="B435" s="21" t="str">
        <f>Table1[[#This Row],[Code]]&amp;" "&amp;Table1[[#This Row],[Portico_Specialty]]</f>
        <v>225XE1200X Occupational Therapist: Ergonomics</v>
      </c>
      <c r="C435" s="21" t="str">
        <f>CLEAN(Table1[[#This Row],[Code]])</f>
        <v>225XE1200X</v>
      </c>
      <c r="D435" s="1" t="s">
        <v>1096</v>
      </c>
      <c r="E435" s="1"/>
      <c r="F435" s="1" t="s">
        <v>2587</v>
      </c>
      <c r="G435" s="4" t="s">
        <v>2593</v>
      </c>
      <c r="H435" s="1" t="s">
        <v>2788</v>
      </c>
      <c r="I435" s="1"/>
      <c r="J435" s="1" t="s">
        <v>2788</v>
      </c>
      <c r="K435" s="1" t="s">
        <v>2788</v>
      </c>
      <c r="L435" s="1" t="s">
        <v>2788</v>
      </c>
      <c r="M435" s="1" t="s">
        <v>2788</v>
      </c>
      <c r="N435" s="1" t="s">
        <v>2788</v>
      </c>
      <c r="O435" s="1" t="s">
        <v>2788</v>
      </c>
      <c r="P435" s="9"/>
      <c r="R435" s="16">
        <f ca="1">IF(ISNUMBER(SEARCH(INDIRECT(CELL("address")),S435)),MAX($R$1:R434)+1,0)</f>
        <v>434</v>
      </c>
      <c r="S435" s="18" t="str">
        <f>Table1[[#This Row],[Portico_Specialty]]&amp;"-"&amp;Table1[[#This Row],[Code]]</f>
        <v>Occupational Therapist: Ergonomics-225XE1200X</v>
      </c>
      <c r="U435" s="16" t="str">
        <f ca="1">IFERROR(VLOOKUP(ROWS($U$1:U434),$R$2:$S$918,2,FALSE),"")</f>
        <v>Occupational Therapist: Ergonomics-225XE1200X</v>
      </c>
    </row>
    <row r="436" spans="1:21" ht="30.75" x14ac:dyDescent="0.3">
      <c r="A436" s="21" t="s">
        <v>1097</v>
      </c>
      <c r="B436" s="21" t="str">
        <f>Table1[[#This Row],[Code]]&amp;" "&amp;Table1[[#This Row],[Portico_Specialty]]</f>
        <v>225XF0002X Occupational Therapist: Feeding, Eating &amp; Swallowing</v>
      </c>
      <c r="C436" s="21" t="str">
        <f>CLEAN(Table1[[#This Row],[Code]])</f>
        <v>225XF0002X</v>
      </c>
      <c r="D436" s="1" t="s">
        <v>1098</v>
      </c>
      <c r="E436" s="1"/>
      <c r="F436" s="1" t="s">
        <v>2587</v>
      </c>
      <c r="G436" s="4" t="s">
        <v>2593</v>
      </c>
      <c r="H436" s="1" t="s">
        <v>2788</v>
      </c>
      <c r="I436" s="1"/>
      <c r="J436" s="1" t="s">
        <v>2788</v>
      </c>
      <c r="K436" s="1" t="s">
        <v>2788</v>
      </c>
      <c r="L436" s="1" t="s">
        <v>2788</v>
      </c>
      <c r="M436" s="1" t="s">
        <v>2788</v>
      </c>
      <c r="N436" s="1" t="s">
        <v>2788</v>
      </c>
      <c r="O436" s="1" t="s">
        <v>2788</v>
      </c>
      <c r="P436" s="9"/>
      <c r="R436" s="16">
        <f ca="1">IF(ISNUMBER(SEARCH(INDIRECT(CELL("address")),S436)),MAX($R$1:R435)+1,0)</f>
        <v>435</v>
      </c>
      <c r="S436" s="18" t="str">
        <f>Table1[[#This Row],[Portico_Specialty]]&amp;"-"&amp;Table1[[#This Row],[Code]]</f>
        <v>Occupational Therapist: Feeding, Eating &amp; Swallowing-225XF0002X</v>
      </c>
      <c r="U436" s="16" t="str">
        <f ca="1">IFERROR(VLOOKUP(ROWS($U$1:U435),$R$2:$S$918,2,FALSE),"")</f>
        <v>Occupational Therapist: Feeding, Eating &amp; Swallowing-225XF0002X</v>
      </c>
    </row>
    <row r="437" spans="1:21" x14ac:dyDescent="0.3">
      <c r="A437" s="21" t="s">
        <v>1099</v>
      </c>
      <c r="B437" s="21" t="str">
        <f>Table1[[#This Row],[Code]]&amp;" "&amp;Table1[[#This Row],[Portico_Specialty]]</f>
        <v>225XG0600X Occupational Therapist: Gerontology</v>
      </c>
      <c r="C437" s="21" t="str">
        <f>CLEAN(Table1[[#This Row],[Code]])</f>
        <v>225XG0600X</v>
      </c>
      <c r="D437" s="1" t="s">
        <v>1100</v>
      </c>
      <c r="E437" s="1"/>
      <c r="F437" s="1" t="s">
        <v>2587</v>
      </c>
      <c r="G437" s="4" t="s">
        <v>2593</v>
      </c>
      <c r="H437" s="1" t="s">
        <v>2788</v>
      </c>
      <c r="I437" s="1"/>
      <c r="J437" s="1" t="s">
        <v>2788</v>
      </c>
      <c r="K437" s="1" t="s">
        <v>2788</v>
      </c>
      <c r="L437" s="1" t="s">
        <v>2788</v>
      </c>
      <c r="M437" s="1" t="s">
        <v>2788</v>
      </c>
      <c r="N437" s="1" t="s">
        <v>2788</v>
      </c>
      <c r="O437" s="1" t="s">
        <v>2788</v>
      </c>
      <c r="P437" s="9"/>
      <c r="R437" s="16">
        <f ca="1">IF(ISNUMBER(SEARCH(INDIRECT(CELL("address")),S437)),MAX($R$1:R436)+1,0)</f>
        <v>436</v>
      </c>
      <c r="S437" s="18" t="str">
        <f>Table1[[#This Row],[Portico_Specialty]]&amp;"-"&amp;Table1[[#This Row],[Code]]</f>
        <v>Occupational Therapist: Gerontology-225XG0600X</v>
      </c>
      <c r="U437" s="16" t="str">
        <f ca="1">IFERROR(VLOOKUP(ROWS($U$1:U436),$R$2:$S$918,2,FALSE),"")</f>
        <v>Occupational Therapist: Gerontology-225XG0600X</v>
      </c>
    </row>
    <row r="438" spans="1:21" x14ac:dyDescent="0.3">
      <c r="A438" s="21" t="s">
        <v>1101</v>
      </c>
      <c r="B438" s="21" t="str">
        <f>Table1[[#This Row],[Code]]&amp;" "&amp;Table1[[#This Row],[Portico_Specialty]]</f>
        <v>225XH1200X Occupational Therapist: Hand</v>
      </c>
      <c r="C438" s="21" t="str">
        <f>CLEAN(Table1[[#This Row],[Code]])</f>
        <v>225XH1200X</v>
      </c>
      <c r="D438" s="1" t="s">
        <v>1102</v>
      </c>
      <c r="E438" s="1"/>
      <c r="F438" s="1" t="s">
        <v>2587</v>
      </c>
      <c r="G438" s="4" t="s">
        <v>2593</v>
      </c>
      <c r="H438" s="1" t="s">
        <v>2788</v>
      </c>
      <c r="I438" s="1"/>
      <c r="J438" s="1" t="s">
        <v>2788</v>
      </c>
      <c r="K438" s="1" t="s">
        <v>2788</v>
      </c>
      <c r="L438" s="1" t="s">
        <v>2788</v>
      </c>
      <c r="M438" s="1" t="s">
        <v>2788</v>
      </c>
      <c r="N438" s="1" t="s">
        <v>2788</v>
      </c>
      <c r="O438" s="1" t="s">
        <v>2788</v>
      </c>
      <c r="P438" s="9"/>
      <c r="R438" s="16">
        <f ca="1">IF(ISNUMBER(SEARCH(INDIRECT(CELL("address")),S438)),MAX($R$1:R437)+1,0)</f>
        <v>437</v>
      </c>
      <c r="S438" s="18" t="str">
        <f>Table1[[#This Row],[Portico_Specialty]]&amp;"-"&amp;Table1[[#This Row],[Code]]</f>
        <v>Occupational Therapist: Hand-225XH1200X</v>
      </c>
      <c r="U438" s="16" t="str">
        <f ca="1">IFERROR(VLOOKUP(ROWS($U$1:U437),$R$2:$S$918,2,FALSE),"")</f>
        <v>Occupational Therapist: Hand-225XH1200X</v>
      </c>
    </row>
    <row r="439" spans="1:21" x14ac:dyDescent="0.3">
      <c r="A439" s="21" t="s">
        <v>1103</v>
      </c>
      <c r="B439" s="21" t="str">
        <f>Table1[[#This Row],[Code]]&amp;" "&amp;Table1[[#This Row],[Portico_Specialty]]</f>
        <v>225XH1300X Occupational Therapist: Human Factors</v>
      </c>
      <c r="C439" s="21" t="str">
        <f>CLEAN(Table1[[#This Row],[Code]])</f>
        <v>225XH1300X</v>
      </c>
      <c r="D439" s="1" t="s">
        <v>1104</v>
      </c>
      <c r="E439" s="1"/>
      <c r="F439" s="1" t="s">
        <v>2587</v>
      </c>
      <c r="G439" s="4" t="s">
        <v>2593</v>
      </c>
      <c r="H439" s="1" t="s">
        <v>2788</v>
      </c>
      <c r="I439" s="1"/>
      <c r="J439" s="1" t="s">
        <v>2788</v>
      </c>
      <c r="K439" s="1" t="s">
        <v>2788</v>
      </c>
      <c r="L439" s="1" t="s">
        <v>2788</v>
      </c>
      <c r="M439" s="1" t="s">
        <v>2788</v>
      </c>
      <c r="N439" s="1" t="s">
        <v>2788</v>
      </c>
      <c r="O439" s="1" t="s">
        <v>2788</v>
      </c>
      <c r="P439" s="9"/>
      <c r="R439" s="16">
        <f ca="1">IF(ISNUMBER(SEARCH(INDIRECT(CELL("address")),S439)),MAX($R$1:R438)+1,0)</f>
        <v>438</v>
      </c>
      <c r="S439" s="18" t="str">
        <f>Table1[[#This Row],[Portico_Specialty]]&amp;"-"&amp;Table1[[#This Row],[Code]]</f>
        <v>Occupational Therapist: Human Factors-225XH1300X</v>
      </c>
      <c r="U439" s="16" t="str">
        <f ca="1">IFERROR(VLOOKUP(ROWS($U$1:U438),$R$2:$S$918,2,FALSE),"")</f>
        <v>Occupational Therapist: Human Factors-225XH1300X</v>
      </c>
    </row>
    <row r="440" spans="1:21" x14ac:dyDescent="0.3">
      <c r="A440" s="21" t="s">
        <v>1105</v>
      </c>
      <c r="B440" s="21" t="str">
        <f>Table1[[#This Row],[Code]]&amp;" "&amp;Table1[[#This Row],[Portico_Specialty]]</f>
        <v>225XL0004X Occupational Therapist: Low Vision</v>
      </c>
      <c r="C440" s="21" t="str">
        <f>CLEAN(Table1[[#This Row],[Code]])</f>
        <v>225XL0004X</v>
      </c>
      <c r="D440" s="1" t="s">
        <v>1106</v>
      </c>
      <c r="E440" s="1"/>
      <c r="F440" s="1" t="s">
        <v>2587</v>
      </c>
      <c r="G440" s="4" t="s">
        <v>2593</v>
      </c>
      <c r="H440" s="1" t="s">
        <v>2788</v>
      </c>
      <c r="I440" s="1"/>
      <c r="J440" s="1" t="s">
        <v>2788</v>
      </c>
      <c r="K440" s="1" t="s">
        <v>2788</v>
      </c>
      <c r="L440" s="1" t="s">
        <v>2788</v>
      </c>
      <c r="M440" s="1" t="s">
        <v>2788</v>
      </c>
      <c r="N440" s="1" t="s">
        <v>2788</v>
      </c>
      <c r="O440" s="1" t="s">
        <v>2788</v>
      </c>
      <c r="P440" s="9"/>
      <c r="R440" s="16">
        <f ca="1">IF(ISNUMBER(SEARCH(INDIRECT(CELL("address")),S440)),MAX($R$1:R439)+1,0)</f>
        <v>439</v>
      </c>
      <c r="S440" s="18" t="str">
        <f>Table1[[#This Row],[Portico_Specialty]]&amp;"-"&amp;Table1[[#This Row],[Code]]</f>
        <v>Occupational Therapist: Low Vision-225XL0004X</v>
      </c>
      <c r="U440" s="16" t="str">
        <f ca="1">IFERROR(VLOOKUP(ROWS($U$1:U439),$R$2:$S$918,2,FALSE),"")</f>
        <v>Occupational Therapist: Low Vision-225XL0004X</v>
      </c>
    </row>
    <row r="441" spans="1:21" x14ac:dyDescent="0.3">
      <c r="A441" s="21" t="s">
        <v>1107</v>
      </c>
      <c r="B441" s="21" t="str">
        <f>Table1[[#This Row],[Code]]&amp;" "&amp;Table1[[#This Row],[Portico_Specialty]]</f>
        <v>225XM0800X Occupational Therapist: Mental Health</v>
      </c>
      <c r="C441" s="21" t="str">
        <f>CLEAN(Table1[[#This Row],[Code]])</f>
        <v>225XM0800X</v>
      </c>
      <c r="D441" s="1" t="s">
        <v>1108</v>
      </c>
      <c r="E441" s="1"/>
      <c r="F441" s="1" t="s">
        <v>2587</v>
      </c>
      <c r="G441" s="4" t="s">
        <v>2593</v>
      </c>
      <c r="H441" s="1" t="s">
        <v>2788</v>
      </c>
      <c r="I441" s="1"/>
      <c r="J441" s="1" t="s">
        <v>2788</v>
      </c>
      <c r="K441" s="1" t="s">
        <v>2788</v>
      </c>
      <c r="L441" s="1" t="s">
        <v>2788</v>
      </c>
      <c r="M441" s="1" t="s">
        <v>2788</v>
      </c>
      <c r="N441" s="1" t="s">
        <v>2788</v>
      </c>
      <c r="O441" s="1" t="s">
        <v>2788</v>
      </c>
      <c r="P441" s="9"/>
      <c r="R441" s="16">
        <f ca="1">IF(ISNUMBER(SEARCH(INDIRECT(CELL("address")),S441)),MAX($R$1:R440)+1,0)</f>
        <v>440</v>
      </c>
      <c r="S441" s="18" t="str">
        <f>Table1[[#This Row],[Portico_Specialty]]&amp;"-"&amp;Table1[[#This Row],[Code]]</f>
        <v>Occupational Therapist: Mental Health-225XM0800X</v>
      </c>
      <c r="U441" s="16" t="str">
        <f ca="1">IFERROR(VLOOKUP(ROWS($U$1:U440),$R$2:$S$918,2,FALSE),"")</f>
        <v>Occupational Therapist: Mental Health-225XM0800X</v>
      </c>
    </row>
    <row r="442" spans="1:21" ht="30.75" x14ac:dyDescent="0.3">
      <c r="A442" s="21" t="s">
        <v>1109</v>
      </c>
      <c r="B442" s="21" t="str">
        <f>Table1[[#This Row],[Code]]&amp;" "&amp;Table1[[#This Row],[Portico_Specialty]]</f>
        <v>225XN1300X Occupational Therapist: Neurorehabilitation</v>
      </c>
      <c r="C442" s="21" t="str">
        <f>CLEAN(Table1[[#This Row],[Code]])</f>
        <v>225XN1300X</v>
      </c>
      <c r="D442" s="1" t="s">
        <v>1110</v>
      </c>
      <c r="E442" s="1"/>
      <c r="F442" s="1" t="s">
        <v>2587</v>
      </c>
      <c r="G442" s="4" t="s">
        <v>2593</v>
      </c>
      <c r="H442" s="1" t="s">
        <v>2788</v>
      </c>
      <c r="I442" s="1"/>
      <c r="J442" s="1" t="s">
        <v>2788</v>
      </c>
      <c r="K442" s="1" t="s">
        <v>2788</v>
      </c>
      <c r="L442" s="1" t="s">
        <v>2788</v>
      </c>
      <c r="M442" s="1" t="s">
        <v>2788</v>
      </c>
      <c r="N442" s="1" t="s">
        <v>2788</v>
      </c>
      <c r="O442" s="1" t="s">
        <v>2788</v>
      </c>
      <c r="P442" s="9"/>
      <c r="R442" s="16">
        <f ca="1">IF(ISNUMBER(SEARCH(INDIRECT(CELL("address")),S442)),MAX($R$1:R441)+1,0)</f>
        <v>441</v>
      </c>
      <c r="S442" s="18" t="str">
        <f>Table1[[#This Row],[Portico_Specialty]]&amp;"-"&amp;Table1[[#This Row],[Code]]</f>
        <v>Occupational Therapist: Neurorehabilitation-225XN1300X</v>
      </c>
      <c r="U442" s="16" t="str">
        <f ca="1">IFERROR(VLOOKUP(ROWS($U$1:U441),$R$2:$S$918,2,FALSE),"")</f>
        <v>Occupational Therapist: Neurorehabilitation-225XN1300X</v>
      </c>
    </row>
    <row r="443" spans="1:21" x14ac:dyDescent="0.3">
      <c r="A443" s="21" t="s">
        <v>1113</v>
      </c>
      <c r="B443" s="21" t="str">
        <f>Table1[[#This Row],[Code]]&amp;" "&amp;Table1[[#This Row],[Portico_Specialty]]</f>
        <v>225XP0200X Occupational Therapist: Pediatrics</v>
      </c>
      <c r="C443" s="21" t="str">
        <f>CLEAN(Table1[[#This Row],[Code]])</f>
        <v>225XP0200X</v>
      </c>
      <c r="D443" s="1" t="s">
        <v>1114</v>
      </c>
      <c r="E443" s="1"/>
      <c r="F443" s="1" t="s">
        <v>2587</v>
      </c>
      <c r="G443" s="4" t="s">
        <v>2593</v>
      </c>
      <c r="H443" s="1" t="s">
        <v>2788</v>
      </c>
      <c r="I443" s="1"/>
      <c r="J443" s="1" t="s">
        <v>2788</v>
      </c>
      <c r="K443" s="1" t="s">
        <v>2788</v>
      </c>
      <c r="L443" s="1" t="s">
        <v>2788</v>
      </c>
      <c r="M443" s="1" t="s">
        <v>2788</v>
      </c>
      <c r="N443" s="1" t="s">
        <v>2788</v>
      </c>
      <c r="O443" s="1" t="s">
        <v>2788</v>
      </c>
      <c r="P443" s="9"/>
      <c r="R443" s="16">
        <f ca="1">IF(ISNUMBER(SEARCH(INDIRECT(CELL("address")),S443)),MAX($R$1:R442)+1,0)</f>
        <v>442</v>
      </c>
      <c r="S443" s="18" t="str">
        <f>Table1[[#This Row],[Portico_Specialty]]&amp;"-"&amp;Table1[[#This Row],[Code]]</f>
        <v>Occupational Therapist: Pediatrics-225XP0200X</v>
      </c>
      <c r="U443" s="16" t="str">
        <f ca="1">IFERROR(VLOOKUP(ROWS($U$1:U442),$R$2:$S$918,2,FALSE),"")</f>
        <v>Occupational Therapist: Pediatrics-225XP0200X</v>
      </c>
    </row>
    <row r="444" spans="1:21" ht="30.75" x14ac:dyDescent="0.3">
      <c r="A444" s="21" t="s">
        <v>1111</v>
      </c>
      <c r="B444" s="21" t="str">
        <f>Table1[[#This Row],[Code]]&amp;" "&amp;Table1[[#This Row],[Portico_Specialty]]</f>
        <v>225XP0019X Occupational Therapist: Physical Rehabilitation</v>
      </c>
      <c r="C444" s="21" t="str">
        <f>CLEAN(Table1[[#This Row],[Code]])</f>
        <v>225XP0019X</v>
      </c>
      <c r="D444" s="1" t="s">
        <v>1112</v>
      </c>
      <c r="E444" s="1"/>
      <c r="F444" s="1" t="s">
        <v>2587</v>
      </c>
      <c r="G444" s="4" t="s">
        <v>2593</v>
      </c>
      <c r="H444" s="1" t="s">
        <v>2788</v>
      </c>
      <c r="I444" s="1"/>
      <c r="J444" s="1" t="s">
        <v>2788</v>
      </c>
      <c r="K444" s="1" t="s">
        <v>2788</v>
      </c>
      <c r="L444" s="1" t="s">
        <v>2788</v>
      </c>
      <c r="M444" s="1" t="s">
        <v>2788</v>
      </c>
      <c r="N444" s="1" t="s">
        <v>2788</v>
      </c>
      <c r="O444" s="1" t="s">
        <v>2788</v>
      </c>
      <c r="P444" s="9"/>
      <c r="R444" s="16">
        <f ca="1">IF(ISNUMBER(SEARCH(INDIRECT(CELL("address")),S444)),MAX($R$1:R443)+1,0)</f>
        <v>443</v>
      </c>
      <c r="S444" s="18" t="str">
        <f>Table1[[#This Row],[Portico_Specialty]]&amp;"-"&amp;Table1[[#This Row],[Code]]</f>
        <v>Occupational Therapist: Physical Rehabilitation-225XP0019X</v>
      </c>
      <c r="U444" s="16" t="str">
        <f ca="1">IFERROR(VLOOKUP(ROWS($U$1:U443),$R$2:$S$918,2,FALSE),"")</f>
        <v>Occupational Therapist: Physical Rehabilitation-225XP0019X</v>
      </c>
    </row>
    <row r="445" spans="1:21" x14ac:dyDescent="0.3">
      <c r="A445" s="21" t="s">
        <v>1029</v>
      </c>
      <c r="B445" s="21" t="str">
        <f>Table1[[#This Row],[Code]]&amp;" "&amp;Table1[[#This Row],[Portico_Specialty]]</f>
        <v>224Z00000X Occupational Therapy Assistant</v>
      </c>
      <c r="C445" s="21" t="str">
        <f>CLEAN(Table1[[#This Row],[Code]])</f>
        <v>224Z00000X</v>
      </c>
      <c r="D445" s="1" t="s">
        <v>1030</v>
      </c>
      <c r="E445" s="1"/>
      <c r="F445" s="1" t="s">
        <v>2587</v>
      </c>
      <c r="G445" s="3" t="s">
        <v>2588</v>
      </c>
      <c r="H445" s="1" t="s">
        <v>2788</v>
      </c>
      <c r="I445" s="1"/>
      <c r="J445" s="1" t="s">
        <v>2590</v>
      </c>
      <c r="K445" s="1" t="s">
        <v>2788</v>
      </c>
      <c r="L445" s="1" t="s">
        <v>2600</v>
      </c>
      <c r="M445" s="1"/>
      <c r="N445" s="1"/>
      <c r="O445" s="1" t="s">
        <v>2788</v>
      </c>
      <c r="P445" s="9"/>
      <c r="R445" s="16">
        <f ca="1">IF(ISNUMBER(SEARCH(INDIRECT(CELL("address")),S445)),MAX($R$1:R444)+1,0)</f>
        <v>444</v>
      </c>
      <c r="S445" s="18" t="str">
        <f>Table1[[#This Row],[Portico_Specialty]]&amp;"-"&amp;Table1[[#This Row],[Code]]</f>
        <v>Occupational Therapy Assistant-224Z00000X</v>
      </c>
      <c r="U445" s="16" t="str">
        <f ca="1">IFERROR(VLOOKUP(ROWS($U$1:U444),$R$2:$S$918,2,FALSE),"")</f>
        <v>Occupational Therapy Assistant-224Z00000X</v>
      </c>
    </row>
    <row r="446" spans="1:21" ht="30.75" x14ac:dyDescent="0.3">
      <c r="A446" s="21" t="s">
        <v>1037</v>
      </c>
      <c r="B446" s="21" t="str">
        <f>Table1[[#This Row],[Code]]&amp;" "&amp;Table1[[#This Row],[Portico_Specialty]]</f>
        <v>224ZR0403X Occupational Therapy Assistant: Driving and Community Mobility</v>
      </c>
      <c r="C446" s="21" t="str">
        <f>CLEAN(Table1[[#This Row],[Code]])</f>
        <v>224ZR0403X</v>
      </c>
      <c r="D446" s="1" t="s">
        <v>1038</v>
      </c>
      <c r="E446" s="1"/>
      <c r="F446" s="1" t="s">
        <v>2587</v>
      </c>
      <c r="G446" s="3" t="s">
        <v>2588</v>
      </c>
      <c r="H446" s="1" t="s">
        <v>2788</v>
      </c>
      <c r="I446" s="1"/>
      <c r="J446" s="1" t="s">
        <v>2590</v>
      </c>
      <c r="K446" s="1" t="s">
        <v>2788</v>
      </c>
      <c r="L446" s="1"/>
      <c r="M446" s="1"/>
      <c r="N446" s="1"/>
      <c r="O446" s="1" t="s">
        <v>2788</v>
      </c>
      <c r="P446" s="9"/>
      <c r="R446" s="16">
        <f ca="1">IF(ISNUMBER(SEARCH(INDIRECT(CELL("address")),S446)),MAX($R$1:R445)+1,0)</f>
        <v>445</v>
      </c>
      <c r="S446" s="18" t="str">
        <f>Table1[[#This Row],[Portico_Specialty]]&amp;"-"&amp;Table1[[#This Row],[Code]]</f>
        <v>Occupational Therapy Assistant: Driving and Community Mobility-224ZR0403X</v>
      </c>
      <c r="U446" s="16" t="str">
        <f ca="1">IFERROR(VLOOKUP(ROWS($U$1:U445),$R$2:$S$918,2,FALSE),"")</f>
        <v>Occupational Therapy Assistant: Driving and Community Mobility-224ZR0403X</v>
      </c>
    </row>
    <row r="447" spans="1:21" ht="30.75" x14ac:dyDescent="0.3">
      <c r="A447" s="21" t="s">
        <v>1031</v>
      </c>
      <c r="B447" s="21" t="str">
        <f>Table1[[#This Row],[Code]]&amp;" "&amp;Table1[[#This Row],[Portico_Specialty]]</f>
        <v>224ZE0001X Occupational Therapy Assistant: Environmental Modification</v>
      </c>
      <c r="C447" s="21" t="str">
        <f>CLEAN(Table1[[#This Row],[Code]])</f>
        <v>224ZE0001X</v>
      </c>
      <c r="D447" s="1" t="s">
        <v>1032</v>
      </c>
      <c r="E447" s="1"/>
      <c r="F447" s="1" t="s">
        <v>2587</v>
      </c>
      <c r="G447" s="3" t="s">
        <v>2588</v>
      </c>
      <c r="H447" s="1" t="s">
        <v>2788</v>
      </c>
      <c r="I447" s="1"/>
      <c r="J447" s="1" t="s">
        <v>2590</v>
      </c>
      <c r="K447" s="1" t="s">
        <v>2788</v>
      </c>
      <c r="L447" s="1"/>
      <c r="M447" s="1"/>
      <c r="N447" s="1"/>
      <c r="O447" s="1" t="s">
        <v>2788</v>
      </c>
      <c r="P447" s="9"/>
      <c r="R447" s="16">
        <f ca="1">IF(ISNUMBER(SEARCH(INDIRECT(CELL("address")),S447)),MAX($R$1:R446)+1,0)</f>
        <v>446</v>
      </c>
      <c r="S447" s="18" t="str">
        <f>Table1[[#This Row],[Portico_Specialty]]&amp;"-"&amp;Table1[[#This Row],[Code]]</f>
        <v>Occupational Therapy Assistant: Environmental Modification-224ZE0001X</v>
      </c>
      <c r="U447" s="16" t="str">
        <f ca="1">IFERROR(VLOOKUP(ROWS($U$1:U446),$R$2:$S$918,2,FALSE),"")</f>
        <v>Occupational Therapy Assistant: Environmental Modification-224ZE0001X</v>
      </c>
    </row>
    <row r="448" spans="1:21" ht="30.75" x14ac:dyDescent="0.3">
      <c r="A448" s="21" t="s">
        <v>1033</v>
      </c>
      <c r="B448" s="21" t="str">
        <f>Table1[[#This Row],[Code]]&amp;" "&amp;Table1[[#This Row],[Portico_Specialty]]</f>
        <v>224ZF0002X Occupational Therapy Assistant: Feeding, Eating &amp; Swallowing</v>
      </c>
      <c r="C448" s="21" t="str">
        <f>CLEAN(Table1[[#This Row],[Code]])</f>
        <v>224ZF0002X</v>
      </c>
      <c r="D448" s="1" t="s">
        <v>1034</v>
      </c>
      <c r="E448" s="1"/>
      <c r="F448" s="1" t="s">
        <v>2587</v>
      </c>
      <c r="G448" s="3" t="s">
        <v>2588</v>
      </c>
      <c r="H448" s="1" t="s">
        <v>2788</v>
      </c>
      <c r="I448" s="1"/>
      <c r="J448" s="1" t="s">
        <v>2590</v>
      </c>
      <c r="K448" s="1" t="s">
        <v>2788</v>
      </c>
      <c r="L448" s="1"/>
      <c r="M448" s="1"/>
      <c r="N448" s="1"/>
      <c r="O448" s="1" t="s">
        <v>2788</v>
      </c>
      <c r="P448" s="9"/>
      <c r="R448" s="16">
        <f ca="1">IF(ISNUMBER(SEARCH(INDIRECT(CELL("address")),S448)),MAX($R$1:R447)+1,0)</f>
        <v>447</v>
      </c>
      <c r="S448" s="18" t="str">
        <f>Table1[[#This Row],[Portico_Specialty]]&amp;"-"&amp;Table1[[#This Row],[Code]]</f>
        <v>Occupational Therapy Assistant: Feeding, Eating &amp; Swallowing-224ZF0002X</v>
      </c>
      <c r="U448" s="16" t="str">
        <f ca="1">IFERROR(VLOOKUP(ROWS($U$1:U447),$R$2:$S$918,2,FALSE),"")</f>
        <v>Occupational Therapy Assistant: Feeding, Eating &amp; Swallowing-224ZF0002X</v>
      </c>
    </row>
    <row r="449" spans="1:21" x14ac:dyDescent="0.3">
      <c r="A449" s="21" t="s">
        <v>1035</v>
      </c>
      <c r="B449" s="21" t="str">
        <f>Table1[[#This Row],[Code]]&amp;" "&amp;Table1[[#This Row],[Portico_Specialty]]</f>
        <v>224ZL0004X Occupational Therapy Assistant: Low Vision</v>
      </c>
      <c r="C449" s="21" t="str">
        <f>CLEAN(Table1[[#This Row],[Code]])</f>
        <v>224ZL0004X</v>
      </c>
      <c r="D449" s="1" t="s">
        <v>1036</v>
      </c>
      <c r="E449" s="1"/>
      <c r="F449" s="1" t="s">
        <v>2587</v>
      </c>
      <c r="G449" s="3" t="s">
        <v>2588</v>
      </c>
      <c r="H449" s="1"/>
      <c r="I449" s="1"/>
      <c r="J449" s="1" t="s">
        <v>2590</v>
      </c>
      <c r="K449" s="1" t="s">
        <v>2788</v>
      </c>
      <c r="L449" s="1"/>
      <c r="M449" s="1"/>
      <c r="N449" s="1"/>
      <c r="O449" s="1" t="s">
        <v>2788</v>
      </c>
      <c r="P449" s="9"/>
      <c r="R449" s="16">
        <f ca="1">IF(ISNUMBER(SEARCH(INDIRECT(CELL("address")),S449)),MAX($R$1:R448)+1,0)</f>
        <v>448</v>
      </c>
      <c r="S449" s="18" t="str">
        <f>Table1[[#This Row],[Portico_Specialty]]&amp;"-"&amp;Table1[[#This Row],[Code]]</f>
        <v>Occupational Therapy Assistant: Low Vision-224ZL0004X</v>
      </c>
      <c r="U449" s="16" t="str">
        <f ca="1">IFERROR(VLOOKUP(ROWS($U$1:U448),$R$2:$S$918,2,FALSE),"")</f>
        <v>Occupational Therapy Assistant: Low Vision-224ZL0004X</v>
      </c>
    </row>
    <row r="450" spans="1:21" x14ac:dyDescent="0.3">
      <c r="A450" s="21" t="s">
        <v>719</v>
      </c>
      <c r="B450" s="21" t="str">
        <f>Table1[[#This Row],[Code]]&amp;" "&amp;Table1[[#This Row],[Portico_Specialty]]</f>
        <v>207W00000X Ophthalmology</v>
      </c>
      <c r="C450" s="21" t="str">
        <f>CLEAN(Table1[[#This Row],[Code]])</f>
        <v>207W00000X</v>
      </c>
      <c r="D450" s="1" t="s">
        <v>720</v>
      </c>
      <c r="E450" s="1"/>
      <c r="F450" s="1" t="s">
        <v>2587</v>
      </c>
      <c r="G450" s="4" t="s">
        <v>2593</v>
      </c>
      <c r="H450" s="1" t="s">
        <v>2721</v>
      </c>
      <c r="I450" s="1"/>
      <c r="J450" s="1" t="s">
        <v>2721</v>
      </c>
      <c r="K450" s="1" t="s">
        <v>2721</v>
      </c>
      <c r="L450" s="1" t="s">
        <v>2721</v>
      </c>
      <c r="M450" s="1" t="s">
        <v>2721</v>
      </c>
      <c r="N450" s="1" t="s">
        <v>2721</v>
      </c>
      <c r="O450" s="1" t="s">
        <v>2721</v>
      </c>
      <c r="P450" s="9"/>
      <c r="R450" s="16">
        <f ca="1">IF(ISNUMBER(SEARCH(INDIRECT(CELL("address")),S450)),MAX($R$1:R449)+1,0)</f>
        <v>449</v>
      </c>
      <c r="S450" s="18" t="str">
        <f>Table1[[#This Row],[Portico_Specialty]]&amp;"-"&amp;Table1[[#This Row],[Code]]</f>
        <v>Ophthalmology-207W00000X</v>
      </c>
      <c r="U450" s="16" t="str">
        <f ca="1">IFERROR(VLOOKUP(ROWS($U$1:U449),$R$2:$S$918,2,FALSE),"")</f>
        <v>Ophthalmology-207W00000X</v>
      </c>
    </row>
    <row r="451" spans="1:21" ht="30.75" x14ac:dyDescent="0.3">
      <c r="A451" s="21" t="s">
        <v>733</v>
      </c>
      <c r="B451" s="21" t="str">
        <f>Table1[[#This Row],[Code]]&amp;" "&amp;Table1[[#This Row],[Portico_Specialty]]</f>
        <v>207WX0200X Ophthalmology:  Ophthalmic Plastic and Reconstructive Surgery</v>
      </c>
      <c r="C451" s="21" t="str">
        <f>CLEAN(Table1[[#This Row],[Code]])</f>
        <v>207WX0200X</v>
      </c>
      <c r="D451" s="1" t="s">
        <v>2801</v>
      </c>
      <c r="E451" s="1"/>
      <c r="F451" s="1" t="s">
        <v>2587</v>
      </c>
      <c r="G451" s="4" t="s">
        <v>2593</v>
      </c>
      <c r="H451" s="1"/>
      <c r="I451" s="1"/>
      <c r="J451" s="1" t="s">
        <v>2721</v>
      </c>
      <c r="K451" s="1" t="s">
        <v>2721</v>
      </c>
      <c r="L451" s="1"/>
      <c r="M451" s="1"/>
      <c r="N451" s="1"/>
      <c r="O451" s="1" t="s">
        <v>2721</v>
      </c>
      <c r="P451" s="9"/>
      <c r="R451" s="16">
        <f ca="1">IF(ISNUMBER(SEARCH(INDIRECT(CELL("address")),S451)),MAX($R$1:R450)+1,0)</f>
        <v>450</v>
      </c>
      <c r="S451" s="18" t="str">
        <f>Table1[[#This Row],[Portico_Specialty]]&amp;"-"&amp;Table1[[#This Row],[Code]]</f>
        <v>Ophthalmology:  Ophthalmic Plastic and Reconstructive Surgery-207WX0200X</v>
      </c>
      <c r="U451" s="16" t="str">
        <f ca="1">IFERROR(VLOOKUP(ROWS($U$1:U450),$R$2:$S$918,2,FALSE),"")</f>
        <v>Ophthalmology:  Ophthalmic Plastic and Reconstructive Surgery-207WX0200X</v>
      </c>
    </row>
    <row r="452" spans="1:21" ht="30.75" x14ac:dyDescent="0.3">
      <c r="A452" s="21" t="s">
        <v>731</v>
      </c>
      <c r="B452" s="21" t="str">
        <f>Table1[[#This Row],[Code]]&amp;" "&amp;Table1[[#This Row],[Portico_Specialty]]</f>
        <v>207WX0120X Ophthalmology: Cornea and External Diseases Specialist</v>
      </c>
      <c r="C452" s="21" t="str">
        <f>CLEAN(Table1[[#This Row],[Code]])</f>
        <v>207WX0120X</v>
      </c>
      <c r="D452" s="1" t="s">
        <v>732</v>
      </c>
      <c r="E452" s="1"/>
      <c r="F452" s="1" t="s">
        <v>2587</v>
      </c>
      <c r="G452" s="4" t="s">
        <v>2593</v>
      </c>
      <c r="H452" s="1" t="s">
        <v>2721</v>
      </c>
      <c r="I452" s="1"/>
      <c r="J452" s="1" t="s">
        <v>2721</v>
      </c>
      <c r="K452" s="1" t="s">
        <v>2721</v>
      </c>
      <c r="L452" s="1" t="s">
        <v>2721</v>
      </c>
      <c r="M452" s="1" t="s">
        <v>2721</v>
      </c>
      <c r="N452" s="1" t="s">
        <v>2721</v>
      </c>
      <c r="O452" s="1" t="s">
        <v>2721</v>
      </c>
      <c r="P452" s="9"/>
      <c r="R452" s="16">
        <f ca="1">IF(ISNUMBER(SEARCH(INDIRECT(CELL("address")),S452)),MAX($R$1:R451)+1,0)</f>
        <v>451</v>
      </c>
      <c r="S452" s="18" t="str">
        <f>Table1[[#This Row],[Portico_Specialty]]&amp;"-"&amp;Table1[[#This Row],[Code]]</f>
        <v>Ophthalmology: Cornea and External Diseases Specialist-207WX0120X</v>
      </c>
      <c r="U452" s="16" t="str">
        <f ca="1">IFERROR(VLOOKUP(ROWS($U$1:U451),$R$2:$S$918,2,FALSE),"")</f>
        <v>Ophthalmology: Cornea and External Diseases Specialist-207WX0120X</v>
      </c>
    </row>
    <row r="453" spans="1:21" x14ac:dyDescent="0.3">
      <c r="A453" s="21" t="s">
        <v>721</v>
      </c>
      <c r="B453" s="21" t="str">
        <f>Table1[[#This Row],[Code]]&amp;" "&amp;Table1[[#This Row],[Portico_Specialty]]</f>
        <v>207WX0009X Ophthalmology: Glaucoma Specialist</v>
      </c>
      <c r="C453" s="21" t="str">
        <f>CLEAN(Table1[[#This Row],[Code]])</f>
        <v>207WX0009X</v>
      </c>
      <c r="D453" s="1" t="s">
        <v>722</v>
      </c>
      <c r="E453" s="1"/>
      <c r="F453" s="1" t="s">
        <v>2587</v>
      </c>
      <c r="G453" s="3" t="s">
        <v>2588</v>
      </c>
      <c r="H453" s="1" t="s">
        <v>2721</v>
      </c>
      <c r="I453" s="1"/>
      <c r="J453" s="1" t="s">
        <v>2721</v>
      </c>
      <c r="K453" s="1" t="s">
        <v>2721</v>
      </c>
      <c r="L453" s="1" t="s">
        <v>2721</v>
      </c>
      <c r="M453" s="1" t="s">
        <v>2721</v>
      </c>
      <c r="N453" s="1" t="s">
        <v>2721</v>
      </c>
      <c r="O453" s="1" t="s">
        <v>2721</v>
      </c>
      <c r="P453" s="9"/>
      <c r="R453" s="16">
        <f ca="1">IF(ISNUMBER(SEARCH(INDIRECT(CELL("address")),S453)),MAX($R$1:R452)+1,0)</f>
        <v>452</v>
      </c>
      <c r="S453" s="18" t="str">
        <f>Table1[[#This Row],[Portico_Specialty]]&amp;"-"&amp;Table1[[#This Row],[Code]]</f>
        <v>Ophthalmology: Glaucoma Specialist-207WX0009X</v>
      </c>
      <c r="U453" s="16" t="str">
        <f ca="1">IFERROR(VLOOKUP(ROWS($U$1:U452),$R$2:$S$918,2,FALSE),"")</f>
        <v>Ophthalmology: Glaucoma Specialist-207WX0009X</v>
      </c>
    </row>
    <row r="454" spans="1:21" x14ac:dyDescent="0.3">
      <c r="A454" s="21" t="s">
        <v>727</v>
      </c>
      <c r="B454" s="21" t="str">
        <f>Table1[[#This Row],[Code]]&amp;" "&amp;Table1[[#This Row],[Portico_Specialty]]</f>
        <v>207WX0109X Ophthalmology: Neuro-ophthalmology</v>
      </c>
      <c r="C454" s="21" t="str">
        <f>CLEAN(Table1[[#This Row],[Code]])</f>
        <v>207WX0109X</v>
      </c>
      <c r="D454" s="1" t="s">
        <v>728</v>
      </c>
      <c r="E454" s="1"/>
      <c r="F454" s="1" t="s">
        <v>2587</v>
      </c>
      <c r="G454" s="4" t="s">
        <v>2593</v>
      </c>
      <c r="H454" s="1" t="s">
        <v>2721</v>
      </c>
      <c r="I454" s="1"/>
      <c r="J454" s="1" t="s">
        <v>2721</v>
      </c>
      <c r="K454" s="1" t="s">
        <v>2721</v>
      </c>
      <c r="L454" s="1" t="s">
        <v>2721</v>
      </c>
      <c r="M454" s="1" t="s">
        <v>2721</v>
      </c>
      <c r="N454" s="1" t="s">
        <v>2721</v>
      </c>
      <c r="O454" s="1" t="s">
        <v>2721</v>
      </c>
      <c r="P454" s="9"/>
      <c r="R454" s="16">
        <f ca="1">IF(ISNUMBER(SEARCH(INDIRECT(CELL("address")),S454)),MAX($R$1:R453)+1,0)</f>
        <v>453</v>
      </c>
      <c r="S454" s="18" t="str">
        <f>Table1[[#This Row],[Portico_Specialty]]&amp;"-"&amp;Table1[[#This Row],[Code]]</f>
        <v>Ophthalmology: Neuro-ophthalmology-207WX0109X</v>
      </c>
      <c r="U454" s="16" t="str">
        <f ca="1">IFERROR(VLOOKUP(ROWS($U$1:U453),$R$2:$S$918,2,FALSE),"")</f>
        <v>Ophthalmology: Neuro-ophthalmology-207WX0109X</v>
      </c>
    </row>
    <row r="455" spans="1:21" ht="30.75" x14ac:dyDescent="0.3">
      <c r="A455" s="21" t="s">
        <v>729</v>
      </c>
      <c r="B455" s="21" t="str">
        <f>Table1[[#This Row],[Code]]&amp;" "&amp;Table1[[#This Row],[Portico_Specialty]]</f>
        <v>207WX0110X Ophthalmology: Pediatric Ophthalmology and Strabismus Specialist</v>
      </c>
      <c r="C455" s="21" t="str">
        <f>CLEAN(Table1[[#This Row],[Code]])</f>
        <v>207WX0110X</v>
      </c>
      <c r="D455" s="1" t="s">
        <v>730</v>
      </c>
      <c r="E455" s="1"/>
      <c r="F455" s="1" t="s">
        <v>2587</v>
      </c>
      <c r="G455" s="4" t="s">
        <v>2593</v>
      </c>
      <c r="H455" s="1" t="s">
        <v>2721</v>
      </c>
      <c r="I455" s="1"/>
      <c r="J455" s="1" t="s">
        <v>2721</v>
      </c>
      <c r="K455" s="1" t="s">
        <v>2721</v>
      </c>
      <c r="L455" s="1" t="s">
        <v>2721</v>
      </c>
      <c r="M455" s="1" t="s">
        <v>2721</v>
      </c>
      <c r="N455" s="1" t="s">
        <v>2721</v>
      </c>
      <c r="O455" s="1" t="s">
        <v>2721</v>
      </c>
      <c r="P455" s="9"/>
      <c r="R455" s="16">
        <f ca="1">IF(ISNUMBER(SEARCH(INDIRECT(CELL("address")),S455)),MAX($R$1:R454)+1,0)</f>
        <v>454</v>
      </c>
      <c r="S455" s="18" t="str">
        <f>Table1[[#This Row],[Portico_Specialty]]&amp;"-"&amp;Table1[[#This Row],[Code]]</f>
        <v>Ophthalmology: Pediatric Ophthalmology and Strabismus Specialist-207WX0110X</v>
      </c>
      <c r="U455" s="16" t="str">
        <f ca="1">IFERROR(VLOOKUP(ROWS($U$1:U454),$R$2:$S$918,2,FALSE),"")</f>
        <v>Ophthalmology: Pediatric Ophthalmology and Strabismus Specialist-207WX0110X</v>
      </c>
    </row>
    <row r="456" spans="1:21" x14ac:dyDescent="0.3">
      <c r="A456" s="21" t="s">
        <v>723</v>
      </c>
      <c r="B456" s="21" t="str">
        <f>Table1[[#This Row],[Code]]&amp;" "&amp;Table1[[#This Row],[Portico_Specialty]]</f>
        <v>207WX0107X Ophthalmology: Retina Specialist</v>
      </c>
      <c r="C456" s="21" t="str">
        <f>CLEAN(Table1[[#This Row],[Code]])</f>
        <v>207WX0107X</v>
      </c>
      <c r="D456" s="1" t="s">
        <v>724</v>
      </c>
      <c r="E456" s="1"/>
      <c r="F456" s="1" t="s">
        <v>2587</v>
      </c>
      <c r="G456" s="3" t="s">
        <v>2588</v>
      </c>
      <c r="H456" s="1" t="s">
        <v>2721</v>
      </c>
      <c r="I456" s="1"/>
      <c r="J456" s="1" t="s">
        <v>2721</v>
      </c>
      <c r="K456" s="1" t="s">
        <v>2721</v>
      </c>
      <c r="L456" s="1" t="s">
        <v>2721</v>
      </c>
      <c r="M456" s="1" t="s">
        <v>2721</v>
      </c>
      <c r="N456" s="1" t="s">
        <v>2721</v>
      </c>
      <c r="O456" s="1" t="s">
        <v>2721</v>
      </c>
      <c r="P456" s="9"/>
      <c r="R456" s="16">
        <f ca="1">IF(ISNUMBER(SEARCH(INDIRECT(CELL("address")),S456)),MAX($R$1:R455)+1,0)</f>
        <v>455</v>
      </c>
      <c r="S456" s="18" t="str">
        <f>Table1[[#This Row],[Portico_Specialty]]&amp;"-"&amp;Table1[[#This Row],[Code]]</f>
        <v>Ophthalmology: Retina Specialist-207WX0107X</v>
      </c>
      <c r="U456" s="16" t="str">
        <f ca="1">IFERROR(VLOOKUP(ROWS($U$1:U455),$R$2:$S$918,2,FALSE),"")</f>
        <v>Ophthalmology: Retina Specialist-207WX0107X</v>
      </c>
    </row>
    <row r="457" spans="1:21" ht="30.75" x14ac:dyDescent="0.3">
      <c r="A457" s="21" t="s">
        <v>725</v>
      </c>
      <c r="B457" s="21" t="str">
        <f>Table1[[#This Row],[Code]]&amp;" "&amp;Table1[[#This Row],[Portico_Specialty]]</f>
        <v>207WX0108X Ophthalmology: Uveitis and Ocular Inflammatory Disease</v>
      </c>
      <c r="C457" s="21" t="str">
        <f>CLEAN(Table1[[#This Row],[Code]])</f>
        <v>207WX0108X</v>
      </c>
      <c r="D457" s="1" t="s">
        <v>726</v>
      </c>
      <c r="E457" s="1"/>
      <c r="F457" s="1" t="s">
        <v>2587</v>
      </c>
      <c r="G457" s="3" t="s">
        <v>2588</v>
      </c>
      <c r="H457" s="1" t="s">
        <v>2721</v>
      </c>
      <c r="I457" s="1"/>
      <c r="J457" s="1" t="s">
        <v>2721</v>
      </c>
      <c r="K457" s="1" t="s">
        <v>2721</v>
      </c>
      <c r="L457" s="1" t="s">
        <v>2721</v>
      </c>
      <c r="M457" s="1" t="s">
        <v>2721</v>
      </c>
      <c r="N457" s="1" t="s">
        <v>2721</v>
      </c>
      <c r="O457" s="1" t="s">
        <v>2721</v>
      </c>
      <c r="P457" s="9"/>
      <c r="R457" s="16">
        <f ca="1">IF(ISNUMBER(SEARCH(INDIRECT(CELL("address")),S457)),MAX($R$1:R456)+1,0)</f>
        <v>456</v>
      </c>
      <c r="S457" s="18" t="str">
        <f>Table1[[#This Row],[Portico_Specialty]]&amp;"-"&amp;Table1[[#This Row],[Code]]</f>
        <v>Ophthalmology: Uveitis and Ocular Inflammatory Disease-207WX0108X</v>
      </c>
      <c r="U457" s="16" t="str">
        <f ca="1">IFERROR(VLOOKUP(ROWS($U$1:U456),$R$2:$S$918,2,FALSE),"")</f>
        <v>Ophthalmology: Uveitis and Ocular Inflammatory Disease-207WX0108X</v>
      </c>
    </row>
    <row r="458" spans="1:21" x14ac:dyDescent="0.3">
      <c r="A458" s="21" t="s">
        <v>2404</v>
      </c>
      <c r="B458" s="21" t="str">
        <f>Table1[[#This Row],[Code]]&amp;" "&amp;Table1[[#This Row],[Portico_Specialty]]</f>
        <v>152W00000X Optometrist</v>
      </c>
      <c r="C458" s="21" t="str">
        <f>CLEAN(Table1[[#This Row],[Code]])</f>
        <v>152W00000X</v>
      </c>
      <c r="D458" s="1" t="s">
        <v>2802</v>
      </c>
      <c r="E458" s="1"/>
      <c r="F458" s="1" t="s">
        <v>2587</v>
      </c>
      <c r="G458" s="4" t="s">
        <v>2593</v>
      </c>
      <c r="H458" s="1" t="s">
        <v>2704</v>
      </c>
      <c r="I458" s="1"/>
      <c r="J458" s="1" t="s">
        <v>2704</v>
      </c>
      <c r="K458" s="1" t="s">
        <v>2704</v>
      </c>
      <c r="L458" s="1" t="s">
        <v>2704</v>
      </c>
      <c r="M458" s="1" t="s">
        <v>2704</v>
      </c>
      <c r="N458" s="1" t="s">
        <v>2704</v>
      </c>
      <c r="O458" s="1" t="s">
        <v>2704</v>
      </c>
      <c r="P458" s="9"/>
      <c r="R458" s="16">
        <f ca="1">IF(ISNUMBER(SEARCH(INDIRECT(CELL("address")),S458)),MAX($R$1:R457)+1,0)</f>
        <v>457</v>
      </c>
      <c r="S458" s="18" t="str">
        <f>Table1[[#This Row],[Portico_Specialty]]&amp;"-"&amp;Table1[[#This Row],[Code]]</f>
        <v>Optometrist-152W00000X</v>
      </c>
      <c r="U458" s="16" t="str">
        <f ca="1">IFERROR(VLOOKUP(ROWS($U$1:U457),$R$2:$S$918,2,FALSE),"")</f>
        <v>Optometrist-152W00000X</v>
      </c>
    </row>
    <row r="459" spans="1:21" ht="30.75" x14ac:dyDescent="0.3">
      <c r="A459" s="21" t="s">
        <v>2405</v>
      </c>
      <c r="B459" s="21" t="str">
        <f>Table1[[#This Row],[Code]]&amp;" "&amp;Table1[[#This Row],[Portico_Specialty]]</f>
        <v>152WC0802X Optometrist: Corneal and Contact Management</v>
      </c>
      <c r="C459" s="21" t="str">
        <f>CLEAN(Table1[[#This Row],[Code]])</f>
        <v>152WC0802X</v>
      </c>
      <c r="D459" s="1" t="s">
        <v>2803</v>
      </c>
      <c r="E459" s="1"/>
      <c r="F459" s="1" t="s">
        <v>2587</v>
      </c>
      <c r="G459" s="4" t="s">
        <v>2593</v>
      </c>
      <c r="H459" s="1" t="s">
        <v>2704</v>
      </c>
      <c r="I459" s="1"/>
      <c r="J459" s="1" t="s">
        <v>2704</v>
      </c>
      <c r="K459" s="1" t="s">
        <v>2704</v>
      </c>
      <c r="L459" s="1" t="s">
        <v>2704</v>
      </c>
      <c r="M459" s="1" t="s">
        <v>2704</v>
      </c>
      <c r="N459" s="1" t="s">
        <v>2704</v>
      </c>
      <c r="O459" s="1" t="s">
        <v>2704</v>
      </c>
      <c r="P459" s="9"/>
      <c r="R459" s="16">
        <f ca="1">IF(ISNUMBER(SEARCH(INDIRECT(CELL("address")),S459)),MAX($R$1:R458)+1,0)</f>
        <v>458</v>
      </c>
      <c r="S459" s="18" t="str">
        <f>Table1[[#This Row],[Portico_Specialty]]&amp;"-"&amp;Table1[[#This Row],[Code]]</f>
        <v>Optometrist: Corneal and Contact Management-152WC0802X</v>
      </c>
      <c r="U459" s="16" t="str">
        <f ca="1">IFERROR(VLOOKUP(ROWS($U$1:U458),$R$2:$S$918,2,FALSE),"")</f>
        <v>Optometrist: Corneal and Contact Management-152WC0802X</v>
      </c>
    </row>
    <row r="460" spans="1:21" x14ac:dyDescent="0.3">
      <c r="A460" s="21" t="s">
        <v>2407</v>
      </c>
      <c r="B460" s="21" t="str">
        <f>Table1[[#This Row],[Code]]&amp;" "&amp;Table1[[#This Row],[Portico_Specialty]]</f>
        <v>152WL0500X Optometrist: Low Vision Rehabilitation</v>
      </c>
      <c r="C460" s="21" t="str">
        <f>CLEAN(Table1[[#This Row],[Code]])</f>
        <v>152WL0500X</v>
      </c>
      <c r="D460" s="1" t="s">
        <v>2804</v>
      </c>
      <c r="E460" s="1"/>
      <c r="F460" s="1" t="s">
        <v>2587</v>
      </c>
      <c r="G460" s="4" t="s">
        <v>2593</v>
      </c>
      <c r="H460" s="1" t="s">
        <v>2704</v>
      </c>
      <c r="I460" s="1"/>
      <c r="J460" s="1" t="s">
        <v>2704</v>
      </c>
      <c r="K460" s="1" t="s">
        <v>2704</v>
      </c>
      <c r="L460" s="1" t="s">
        <v>2704</v>
      </c>
      <c r="M460" s="1" t="s">
        <v>2704</v>
      </c>
      <c r="N460" s="1" t="s">
        <v>2704</v>
      </c>
      <c r="O460" s="1" t="s">
        <v>2704</v>
      </c>
      <c r="P460" s="9"/>
      <c r="R460" s="16">
        <f ca="1">IF(ISNUMBER(SEARCH(INDIRECT(CELL("address")),S460)),MAX($R$1:R459)+1,0)</f>
        <v>459</v>
      </c>
      <c r="S460" s="18" t="str">
        <f>Table1[[#This Row],[Portico_Specialty]]&amp;"-"&amp;Table1[[#This Row],[Code]]</f>
        <v>Optometrist: Low Vision Rehabilitation-152WL0500X</v>
      </c>
      <c r="U460" s="16" t="str">
        <f ca="1">IFERROR(VLOOKUP(ROWS($U$1:U459),$R$2:$S$918,2,FALSE),"")</f>
        <v>Optometrist: Low Vision Rehabilitation-152WL0500X</v>
      </c>
    </row>
    <row r="461" spans="1:21" x14ac:dyDescent="0.3">
      <c r="A461" s="21" t="s">
        <v>2414</v>
      </c>
      <c r="B461" s="21" t="str">
        <f>Table1[[#This Row],[Code]]&amp;" "&amp;Table1[[#This Row],[Portico_Specialty]]</f>
        <v>152WX0102X Optometrist: Occupational Vision</v>
      </c>
      <c r="C461" s="21" t="str">
        <f>CLEAN(Table1[[#This Row],[Code]])</f>
        <v>152WX0102X</v>
      </c>
      <c r="D461" s="1" t="s">
        <v>2805</v>
      </c>
      <c r="E461" s="1"/>
      <c r="F461" s="1" t="s">
        <v>2587</v>
      </c>
      <c r="G461" s="4" t="s">
        <v>2593</v>
      </c>
      <c r="H461" s="1" t="s">
        <v>2704</v>
      </c>
      <c r="I461" s="1"/>
      <c r="J461" s="1" t="s">
        <v>2704</v>
      </c>
      <c r="K461" s="1" t="s">
        <v>2704</v>
      </c>
      <c r="L461" s="1" t="s">
        <v>2704</v>
      </c>
      <c r="M461" s="1" t="s">
        <v>2704</v>
      </c>
      <c r="N461" s="1" t="s">
        <v>2704</v>
      </c>
      <c r="O461" s="1" t="s">
        <v>2704</v>
      </c>
      <c r="P461" s="9"/>
      <c r="R461" s="16">
        <f ca="1">IF(ISNUMBER(SEARCH(INDIRECT(CELL("address")),S461)),MAX($R$1:R460)+1,0)</f>
        <v>460</v>
      </c>
      <c r="S461" s="18" t="str">
        <f>Table1[[#This Row],[Portico_Specialty]]&amp;"-"&amp;Table1[[#This Row],[Code]]</f>
        <v>Optometrist: Occupational Vision-152WX0102X</v>
      </c>
      <c r="U461" s="16" t="str">
        <f ca="1">IFERROR(VLOOKUP(ROWS($U$1:U460),$R$2:$S$918,2,FALSE),"")</f>
        <v>Optometrist: Occupational Vision-152WX0102X</v>
      </c>
    </row>
    <row r="462" spans="1:21" x14ac:dyDescent="0.3">
      <c r="A462" s="21" t="s">
        <v>2409</v>
      </c>
      <c r="B462" s="21" t="str">
        <f>Table1[[#This Row],[Code]]&amp;" "&amp;Table1[[#This Row],[Portico_Specialty]]</f>
        <v>152WP0200X Optometrist: Pediatrics</v>
      </c>
      <c r="C462" s="21" t="str">
        <f>CLEAN(Table1[[#This Row],[Code]])</f>
        <v>152WP0200X</v>
      </c>
      <c r="D462" s="1" t="s">
        <v>2806</v>
      </c>
      <c r="E462" s="1"/>
      <c r="F462" s="1" t="s">
        <v>2587</v>
      </c>
      <c r="G462" s="4" t="s">
        <v>2593</v>
      </c>
      <c r="H462" s="1" t="s">
        <v>2704</v>
      </c>
      <c r="I462" s="1"/>
      <c r="J462" s="1" t="s">
        <v>2704</v>
      </c>
      <c r="K462" s="1" t="s">
        <v>2704</v>
      </c>
      <c r="L462" s="1" t="s">
        <v>2704</v>
      </c>
      <c r="M462" s="1" t="s">
        <v>2704</v>
      </c>
      <c r="N462" s="1" t="s">
        <v>2704</v>
      </c>
      <c r="O462" s="1" t="s">
        <v>2704</v>
      </c>
      <c r="P462" s="9"/>
      <c r="R462" s="16">
        <f ca="1">IF(ISNUMBER(SEARCH(INDIRECT(CELL("address")),S462)),MAX($R$1:R461)+1,0)</f>
        <v>461</v>
      </c>
      <c r="S462" s="18" t="str">
        <f>Table1[[#This Row],[Portico_Specialty]]&amp;"-"&amp;Table1[[#This Row],[Code]]</f>
        <v>Optometrist: Pediatrics-152WP0200X</v>
      </c>
      <c r="U462" s="16" t="str">
        <f ca="1">IFERROR(VLOOKUP(ROWS($U$1:U461),$R$2:$S$918,2,FALSE),"")</f>
        <v>Optometrist: Pediatrics-152WP0200X</v>
      </c>
    </row>
    <row r="463" spans="1:21" x14ac:dyDescent="0.3">
      <c r="A463" s="21" t="s">
        <v>299</v>
      </c>
      <c r="B463" s="21" t="str">
        <f>Table1[[#This Row],[Code]]&amp;" "&amp;Table1[[#This Row],[Portico_Specialty]]</f>
        <v>152WS0006X Optometrist: Sports Vision</v>
      </c>
      <c r="C463" s="21" t="str">
        <f>CLEAN(Table1[[#This Row],[Code]])</f>
        <v>152WS0006X</v>
      </c>
      <c r="D463" s="1" t="s">
        <v>300</v>
      </c>
      <c r="E463" s="1"/>
      <c r="F463" s="1" t="s">
        <v>2587</v>
      </c>
      <c r="G463" s="4" t="s">
        <v>2593</v>
      </c>
      <c r="H463" s="1" t="s">
        <v>2704</v>
      </c>
      <c r="I463" s="1"/>
      <c r="J463" s="1" t="s">
        <v>2704</v>
      </c>
      <c r="K463" s="1" t="s">
        <v>2704</v>
      </c>
      <c r="L463" s="1" t="s">
        <v>2704</v>
      </c>
      <c r="M463" s="1" t="s">
        <v>2704</v>
      </c>
      <c r="N463" s="1" t="s">
        <v>2704</v>
      </c>
      <c r="O463" s="1" t="s">
        <v>2704</v>
      </c>
      <c r="P463" s="9"/>
      <c r="R463" s="16">
        <f ca="1">IF(ISNUMBER(SEARCH(INDIRECT(CELL("address")),S463)),MAX($R$1:R462)+1,0)</f>
        <v>462</v>
      </c>
      <c r="S463" s="18" t="str">
        <f>Table1[[#This Row],[Portico_Specialty]]&amp;"-"&amp;Table1[[#This Row],[Code]]</f>
        <v>Optometrist: Sports Vision-152WS0006X</v>
      </c>
      <c r="U463" s="16" t="str">
        <f ca="1">IFERROR(VLOOKUP(ROWS($U$1:U462),$R$2:$S$918,2,FALSE),"")</f>
        <v>Optometrist: Sports Vision-152WS0006X</v>
      </c>
    </row>
    <row r="464" spans="1:21" x14ac:dyDescent="0.3">
      <c r="A464" s="21" t="s">
        <v>2412</v>
      </c>
      <c r="B464" s="21" t="str">
        <f>Table1[[#This Row],[Code]]&amp;" "&amp;Table1[[#This Row],[Portico_Specialty]]</f>
        <v>152WV0400X Optometrist: Vision Therapy</v>
      </c>
      <c r="C464" s="21" t="str">
        <f>CLEAN(Table1[[#This Row],[Code]])</f>
        <v>152WV0400X</v>
      </c>
      <c r="D464" s="1" t="s">
        <v>2807</v>
      </c>
      <c r="E464" s="1"/>
      <c r="F464" s="1" t="s">
        <v>2587</v>
      </c>
      <c r="G464" s="4" t="s">
        <v>2593</v>
      </c>
      <c r="H464" s="1" t="s">
        <v>2704</v>
      </c>
      <c r="I464" s="1"/>
      <c r="J464" s="1" t="s">
        <v>2704</v>
      </c>
      <c r="K464" s="1" t="s">
        <v>2704</v>
      </c>
      <c r="L464" s="1" t="s">
        <v>2704</v>
      </c>
      <c r="M464" s="1" t="s">
        <v>2704</v>
      </c>
      <c r="N464" s="1" t="s">
        <v>2704</v>
      </c>
      <c r="O464" s="1" t="s">
        <v>2704</v>
      </c>
      <c r="P464" s="9"/>
      <c r="R464" s="16">
        <f ca="1">IF(ISNUMBER(SEARCH(INDIRECT(CELL("address")),S464)),MAX($R$1:R463)+1,0)</f>
        <v>463</v>
      </c>
      <c r="S464" s="18" t="str">
        <f>Table1[[#This Row],[Portico_Specialty]]&amp;"-"&amp;Table1[[#This Row],[Code]]</f>
        <v>Optometrist: Vision Therapy-152WV0400X</v>
      </c>
      <c r="U464" s="16" t="str">
        <f ca="1">IFERROR(VLOOKUP(ROWS($U$1:U463),$R$2:$S$918,2,FALSE),"")</f>
        <v>Optometrist: Vision Therapy-152WV0400X</v>
      </c>
    </row>
    <row r="465" spans="1:21" x14ac:dyDescent="0.3">
      <c r="A465" s="21" t="s">
        <v>551</v>
      </c>
      <c r="B465" s="21" t="str">
        <f>Table1[[#This Row],[Code]]&amp;" "&amp;Table1[[#This Row],[Portico_Specialty]]</f>
        <v>204E00000X Oral &amp; Maxillofacial Surgery</v>
      </c>
      <c r="C465" s="21" t="str">
        <f>CLEAN(Table1[[#This Row],[Code]])</f>
        <v>204E00000X</v>
      </c>
      <c r="D465" s="1" t="s">
        <v>552</v>
      </c>
      <c r="E465" s="1"/>
      <c r="F465" s="1" t="s">
        <v>2587</v>
      </c>
      <c r="G465" s="4" t="s">
        <v>2593</v>
      </c>
      <c r="H465" s="1" t="s">
        <v>2692</v>
      </c>
      <c r="I465" s="1"/>
      <c r="J465" s="1" t="s">
        <v>2692</v>
      </c>
      <c r="K465" s="1" t="s">
        <v>2691</v>
      </c>
      <c r="L465" s="1" t="s">
        <v>2692</v>
      </c>
      <c r="M465" s="1" t="s">
        <v>2692</v>
      </c>
      <c r="N465" s="1" t="s">
        <v>2692</v>
      </c>
      <c r="O465" s="1" t="s">
        <v>2691</v>
      </c>
      <c r="P465" s="9"/>
      <c r="R465" s="16">
        <f ca="1">IF(ISNUMBER(SEARCH(INDIRECT(CELL("address")),S465)),MAX($R$1:R464)+1,0)</f>
        <v>464</v>
      </c>
      <c r="S465" s="18" t="str">
        <f>Table1[[#This Row],[Portico_Specialty]]&amp;"-"&amp;Table1[[#This Row],[Code]]</f>
        <v>Oral &amp; Maxillofacial Surgery-204E00000X</v>
      </c>
      <c r="U465" s="16" t="str">
        <f ca="1">IFERROR(VLOOKUP(ROWS($U$1:U464),$R$2:$S$918,2,FALSE),"")</f>
        <v>Oral &amp; Maxillofacial Surgery-204E00000X</v>
      </c>
    </row>
    <row r="466" spans="1:21" x14ac:dyDescent="0.3">
      <c r="A466" s="21" t="s">
        <v>259</v>
      </c>
      <c r="B466" s="21" t="str">
        <f>Table1[[#This Row],[Code]]&amp;" "&amp;Table1[[#This Row],[Portico_Specialty]]</f>
        <v>125Q00000X Oral Medicinist: Dental Providers</v>
      </c>
      <c r="C466" s="21" t="str">
        <f>CLEAN(Table1[[#This Row],[Code]])</f>
        <v>125Q00000X</v>
      </c>
      <c r="D466" s="1" t="s">
        <v>260</v>
      </c>
      <c r="E466" s="1"/>
      <c r="F466" s="1" t="s">
        <v>2587</v>
      </c>
      <c r="G466" s="3" t="s">
        <v>2588</v>
      </c>
      <c r="H466" s="1"/>
      <c r="I466" s="1"/>
      <c r="J466" s="1" t="s">
        <v>2590</v>
      </c>
      <c r="K466" s="1" t="s">
        <v>2592</v>
      </c>
      <c r="L466" s="1"/>
      <c r="M466" s="1"/>
      <c r="N466" s="1"/>
      <c r="O466" s="1" t="s">
        <v>2592</v>
      </c>
      <c r="P466" s="9"/>
      <c r="R466" s="16">
        <f ca="1">IF(ISNUMBER(SEARCH(INDIRECT(CELL("address")),S466)),MAX($R$1:R465)+1,0)</f>
        <v>465</v>
      </c>
      <c r="S466" s="18" t="str">
        <f>Table1[[#This Row],[Portico_Specialty]]&amp;"-"&amp;Table1[[#This Row],[Code]]</f>
        <v>Oral Medicinist: Dental Providers-125Q00000X</v>
      </c>
      <c r="U466" s="16" t="str">
        <f ca="1">IFERROR(VLOOKUP(ROWS($U$1:U465),$R$2:$S$918,2,FALSE),"")</f>
        <v>Oral Medicinist: Dental Providers-125Q00000X</v>
      </c>
    </row>
    <row r="467" spans="1:21" x14ac:dyDescent="0.3">
      <c r="A467" s="21" t="s">
        <v>1647</v>
      </c>
      <c r="B467" s="21" t="str">
        <f>Table1[[#This Row],[Code]]&amp;" "&amp;Table1[[#This Row],[Portico_Specialty]]</f>
        <v>335U00000X Organ Procurement Organization</v>
      </c>
      <c r="C467" s="21" t="str">
        <f>CLEAN(Table1[[#This Row],[Code]])</f>
        <v>335U00000X</v>
      </c>
      <c r="D467" s="1" t="s">
        <v>1648</v>
      </c>
      <c r="E467" s="1"/>
      <c r="F467" s="1" t="s">
        <v>2587</v>
      </c>
      <c r="G467" s="4" t="s">
        <v>2593</v>
      </c>
      <c r="H467" s="1" t="s">
        <v>2615</v>
      </c>
      <c r="I467" s="1"/>
      <c r="J467" s="1" t="s">
        <v>2590</v>
      </c>
      <c r="K467" s="1" t="s">
        <v>2590</v>
      </c>
      <c r="L467" s="1" t="s">
        <v>2615</v>
      </c>
      <c r="M467" s="1" t="s">
        <v>2615</v>
      </c>
      <c r="N467" s="1"/>
      <c r="O467" s="1" t="s">
        <v>2590</v>
      </c>
      <c r="P467" s="9"/>
      <c r="R467" s="16">
        <f ca="1">IF(ISNUMBER(SEARCH(INDIRECT(CELL("address")),S467)),MAX($R$1:R466)+1,0)</f>
        <v>466</v>
      </c>
      <c r="S467" s="18" t="str">
        <f>Table1[[#This Row],[Portico_Specialty]]&amp;"-"&amp;Table1[[#This Row],[Code]]</f>
        <v>Organ Procurement Organization-335U00000X</v>
      </c>
      <c r="U467" s="16" t="str">
        <f ca="1">IFERROR(VLOOKUP(ROWS($U$1:U466),$R$2:$S$918,2,FALSE),"")</f>
        <v>Organ Procurement Organization-335U00000X</v>
      </c>
    </row>
    <row r="468" spans="1:21" x14ac:dyDescent="0.3">
      <c r="A468" s="21" t="s">
        <v>735</v>
      </c>
      <c r="B468" s="21" t="str">
        <f>Table1[[#This Row],[Code]]&amp;" "&amp;Table1[[#This Row],[Portico_Specialty]]</f>
        <v>207X00000X Orthopaedic Surgery</v>
      </c>
      <c r="C468" s="21" t="str">
        <f>CLEAN(Table1[[#This Row],[Code]])</f>
        <v>207X00000X</v>
      </c>
      <c r="D468" s="1" t="s">
        <v>736</v>
      </c>
      <c r="E468" s="1"/>
      <c r="F468" s="1" t="s">
        <v>2587</v>
      </c>
      <c r="G468" s="4" t="s">
        <v>2593</v>
      </c>
      <c r="H468" s="1" t="s">
        <v>2808</v>
      </c>
      <c r="I468" s="1"/>
      <c r="J468" s="1" t="s">
        <v>2808</v>
      </c>
      <c r="K468" s="1" t="s">
        <v>2808</v>
      </c>
      <c r="L468" s="1" t="s">
        <v>2808</v>
      </c>
      <c r="M468" s="1" t="s">
        <v>2808</v>
      </c>
      <c r="N468" s="1" t="s">
        <v>2808</v>
      </c>
      <c r="O468" s="1" t="s">
        <v>2808</v>
      </c>
      <c r="P468" s="9"/>
      <c r="R468" s="16">
        <f ca="1">IF(ISNUMBER(SEARCH(INDIRECT(CELL("address")),S468)),MAX($R$1:R467)+1,0)</f>
        <v>467</v>
      </c>
      <c r="S468" s="18" t="str">
        <f>Table1[[#This Row],[Portico_Specialty]]&amp;"-"&amp;Table1[[#This Row],[Code]]</f>
        <v>Orthopaedic Surgery-207X00000X</v>
      </c>
      <c r="U468" s="16" t="str">
        <f ca="1">IFERROR(VLOOKUP(ROWS($U$1:U467),$R$2:$S$918,2,FALSE),"")</f>
        <v>Orthopaedic Surgery-207X00000X</v>
      </c>
    </row>
    <row r="469" spans="1:21" ht="30.75" x14ac:dyDescent="0.3">
      <c r="A469" s="21" t="s">
        <v>741</v>
      </c>
      <c r="B469" s="21" t="str">
        <f>Table1[[#This Row],[Code]]&amp;" "&amp;Table1[[#This Row],[Portico_Specialty]]</f>
        <v>207XS0114X Orthopaedic Surgery: Adult Reconstructive Orthopaedic Surgery</v>
      </c>
      <c r="C469" s="21" t="str">
        <f>CLEAN(Table1[[#This Row],[Code]])</f>
        <v>207XS0114X</v>
      </c>
      <c r="D469" s="1" t="s">
        <v>742</v>
      </c>
      <c r="E469" s="1"/>
      <c r="F469" s="1" t="s">
        <v>2587</v>
      </c>
      <c r="G469" s="4" t="s">
        <v>2593</v>
      </c>
      <c r="H469" s="1" t="s">
        <v>2808</v>
      </c>
      <c r="I469" s="1"/>
      <c r="J469" s="1" t="s">
        <v>2808</v>
      </c>
      <c r="K469" s="1" t="s">
        <v>2808</v>
      </c>
      <c r="L469" s="1" t="s">
        <v>2808</v>
      </c>
      <c r="M469" s="1" t="s">
        <v>2808</v>
      </c>
      <c r="N469" s="1" t="s">
        <v>2808</v>
      </c>
      <c r="O469" s="1" t="s">
        <v>2808</v>
      </c>
      <c r="P469" s="9"/>
      <c r="R469" s="16">
        <f ca="1">IF(ISNUMBER(SEARCH(INDIRECT(CELL("address")),S469)),MAX($R$1:R468)+1,0)</f>
        <v>468</v>
      </c>
      <c r="S469" s="18" t="str">
        <f>Table1[[#This Row],[Portico_Specialty]]&amp;"-"&amp;Table1[[#This Row],[Code]]</f>
        <v>Orthopaedic Surgery: Adult Reconstructive Orthopaedic Surgery-207XS0114X</v>
      </c>
      <c r="U469" s="16" t="str">
        <f ca="1">IFERROR(VLOOKUP(ROWS($U$1:U468),$R$2:$S$918,2,FALSE),"")</f>
        <v>Orthopaedic Surgery: Adult Reconstructive Orthopaedic Surgery-207XS0114X</v>
      </c>
    </row>
    <row r="470" spans="1:21" ht="30.75" x14ac:dyDescent="0.3">
      <c r="A470" s="21" t="s">
        <v>745</v>
      </c>
      <c r="B470" s="21" t="str">
        <f>Table1[[#This Row],[Code]]&amp;" "&amp;Table1[[#This Row],[Portico_Specialty]]</f>
        <v>207XX0004X Orthopaedic Surgery: Foot and Ankle Surgery</v>
      </c>
      <c r="C470" s="21" t="str">
        <f>CLEAN(Table1[[#This Row],[Code]])</f>
        <v>207XX0004X</v>
      </c>
      <c r="D470" s="1" t="s">
        <v>746</v>
      </c>
      <c r="E470" s="1"/>
      <c r="F470" s="1" t="s">
        <v>2587</v>
      </c>
      <c r="G470" s="4" t="s">
        <v>2593</v>
      </c>
      <c r="H470" s="1" t="s">
        <v>2808</v>
      </c>
      <c r="I470" s="1"/>
      <c r="J470" s="1" t="s">
        <v>2808</v>
      </c>
      <c r="K470" s="1" t="s">
        <v>2808</v>
      </c>
      <c r="L470" s="1" t="s">
        <v>2808</v>
      </c>
      <c r="M470" s="1" t="s">
        <v>2808</v>
      </c>
      <c r="N470" s="1" t="s">
        <v>2808</v>
      </c>
      <c r="O470" s="1" t="s">
        <v>2808</v>
      </c>
      <c r="P470" s="9"/>
      <c r="R470" s="16">
        <f ca="1">IF(ISNUMBER(SEARCH(INDIRECT(CELL("address")),S470)),MAX($R$1:R469)+1,0)</f>
        <v>469</v>
      </c>
      <c r="S470" s="18" t="str">
        <f>Table1[[#This Row],[Portico_Specialty]]&amp;"-"&amp;Table1[[#This Row],[Code]]</f>
        <v>Orthopaedic Surgery: Foot and Ankle Surgery-207XX0004X</v>
      </c>
      <c r="U470" s="16" t="str">
        <f ca="1">IFERROR(VLOOKUP(ROWS($U$1:U469),$R$2:$S$918,2,FALSE),"")</f>
        <v>Orthopaedic Surgery: Foot and Ankle Surgery-207XX0004X</v>
      </c>
    </row>
    <row r="471" spans="1:21" x14ac:dyDescent="0.3">
      <c r="A471" s="21" t="s">
        <v>739</v>
      </c>
      <c r="B471" s="21" t="str">
        <f>Table1[[#This Row],[Code]]&amp;" "&amp;Table1[[#This Row],[Portico_Specialty]]</f>
        <v>207XS0106X Orthopaedic Surgery: Hand Surgery</v>
      </c>
      <c r="C471" s="21" t="str">
        <f>CLEAN(Table1[[#This Row],[Code]])</f>
        <v>207XS0106X</v>
      </c>
      <c r="D471" s="1" t="s">
        <v>740</v>
      </c>
      <c r="E471" s="1"/>
      <c r="F471" s="1" t="s">
        <v>2587</v>
      </c>
      <c r="G471" s="4" t="s">
        <v>2593</v>
      </c>
      <c r="H471" s="1" t="s">
        <v>2808</v>
      </c>
      <c r="I471" s="1"/>
      <c r="J471" s="1" t="s">
        <v>2809</v>
      </c>
      <c r="K471" s="1" t="s">
        <v>2808</v>
      </c>
      <c r="L471" s="1" t="s">
        <v>2808</v>
      </c>
      <c r="M471" s="1" t="s">
        <v>2808</v>
      </c>
      <c r="N471" s="1" t="s">
        <v>2809</v>
      </c>
      <c r="O471" s="1" t="s">
        <v>2808</v>
      </c>
      <c r="P471" s="9"/>
      <c r="R471" s="16">
        <f ca="1">IF(ISNUMBER(SEARCH(INDIRECT(CELL("address")),S471)),MAX($R$1:R470)+1,0)</f>
        <v>470</v>
      </c>
      <c r="S471" s="18" t="str">
        <f>Table1[[#This Row],[Portico_Specialty]]&amp;"-"&amp;Table1[[#This Row],[Code]]</f>
        <v>Orthopaedic Surgery: Hand Surgery-207XS0106X</v>
      </c>
      <c r="U471" s="16" t="str">
        <f ca="1">IFERROR(VLOOKUP(ROWS($U$1:U470),$R$2:$S$918,2,FALSE),"")</f>
        <v>Orthopaedic Surgery: Hand Surgery-207XS0106X</v>
      </c>
    </row>
    <row r="472" spans="1:21" ht="30.75" x14ac:dyDescent="0.3">
      <c r="A472" s="21" t="s">
        <v>743</v>
      </c>
      <c r="B472" s="21" t="str">
        <f>Table1[[#This Row],[Code]]&amp;" "&amp;Table1[[#This Row],[Portico_Specialty]]</f>
        <v>207XS0117X Orthopaedic Surgery: Orthopaedic Surgery of the Spine</v>
      </c>
      <c r="C472" s="21" t="str">
        <f>CLEAN(Table1[[#This Row],[Code]])</f>
        <v>207XS0117X</v>
      </c>
      <c r="D472" s="1" t="s">
        <v>744</v>
      </c>
      <c r="E472" s="1"/>
      <c r="F472" s="1" t="s">
        <v>2587</v>
      </c>
      <c r="G472" s="4" t="s">
        <v>2593</v>
      </c>
      <c r="H472" s="1" t="s">
        <v>2808</v>
      </c>
      <c r="I472" s="1"/>
      <c r="J472" s="1" t="s">
        <v>2808</v>
      </c>
      <c r="K472" s="1" t="s">
        <v>2808</v>
      </c>
      <c r="L472" s="1" t="s">
        <v>2808</v>
      </c>
      <c r="M472" s="1" t="s">
        <v>2808</v>
      </c>
      <c r="N472" s="1" t="s">
        <v>2808</v>
      </c>
      <c r="O472" s="1" t="s">
        <v>2808</v>
      </c>
      <c r="P472" s="9"/>
      <c r="R472" s="16">
        <f ca="1">IF(ISNUMBER(SEARCH(INDIRECT(CELL("address")),S472)),MAX($R$1:R471)+1,0)</f>
        <v>471</v>
      </c>
      <c r="S472" s="18" t="str">
        <f>Table1[[#This Row],[Portico_Specialty]]&amp;"-"&amp;Table1[[#This Row],[Code]]</f>
        <v>Orthopaedic Surgery: Orthopaedic Surgery of the Spine-207XS0117X</v>
      </c>
      <c r="U472" s="16" t="str">
        <f ca="1">IFERROR(VLOOKUP(ROWS($U$1:U471),$R$2:$S$918,2,FALSE),"")</f>
        <v>Orthopaedic Surgery: Orthopaedic Surgery of the Spine-207XS0117X</v>
      </c>
    </row>
    <row r="473" spans="1:21" x14ac:dyDescent="0.3">
      <c r="A473" s="21" t="s">
        <v>749</v>
      </c>
      <c r="B473" s="21" t="str">
        <f>Table1[[#This Row],[Code]]&amp;" "&amp;Table1[[#This Row],[Portico_Specialty]]</f>
        <v>207XX0801X Orthopaedic Surgery: Orthopaedic Trauma</v>
      </c>
      <c r="C473" s="21" t="str">
        <f>CLEAN(Table1[[#This Row],[Code]])</f>
        <v>207XX0801X</v>
      </c>
      <c r="D473" s="1" t="s">
        <v>750</v>
      </c>
      <c r="E473" s="1"/>
      <c r="F473" s="1" t="s">
        <v>2587</v>
      </c>
      <c r="G473" s="4" t="s">
        <v>2593</v>
      </c>
      <c r="H473" s="1" t="s">
        <v>2808</v>
      </c>
      <c r="I473" s="1"/>
      <c r="J473" s="1" t="s">
        <v>2808</v>
      </c>
      <c r="K473" s="1" t="s">
        <v>2808</v>
      </c>
      <c r="L473" s="1" t="s">
        <v>2808</v>
      </c>
      <c r="M473" s="1" t="s">
        <v>2808</v>
      </c>
      <c r="N473" s="1" t="s">
        <v>2808</v>
      </c>
      <c r="O473" s="1" t="s">
        <v>2808</v>
      </c>
      <c r="P473" s="9"/>
      <c r="R473" s="16">
        <f ca="1">IF(ISNUMBER(SEARCH(INDIRECT(CELL("address")),S473)),MAX($R$1:R472)+1,0)</f>
        <v>472</v>
      </c>
      <c r="S473" s="18" t="str">
        <f>Table1[[#This Row],[Portico_Specialty]]&amp;"-"&amp;Table1[[#This Row],[Code]]</f>
        <v>Orthopaedic Surgery: Orthopaedic Trauma-207XX0801X</v>
      </c>
      <c r="U473" s="16" t="str">
        <f ca="1">IFERROR(VLOOKUP(ROWS($U$1:U472),$R$2:$S$918,2,FALSE),"")</f>
        <v>Orthopaedic Surgery: Orthopaedic Trauma-207XX0801X</v>
      </c>
    </row>
    <row r="474" spans="1:21" ht="30.75" x14ac:dyDescent="0.3">
      <c r="A474" s="21" t="s">
        <v>737</v>
      </c>
      <c r="B474" s="21" t="str">
        <f>Table1[[#This Row],[Code]]&amp;" "&amp;Table1[[#This Row],[Portico_Specialty]]</f>
        <v>207XP3100X Orthopaedic Surgery: Pediatric Orthopaedic Surgery</v>
      </c>
      <c r="C474" s="21" t="str">
        <f>CLEAN(Table1[[#This Row],[Code]])</f>
        <v>207XP3100X</v>
      </c>
      <c r="D474" s="1" t="s">
        <v>738</v>
      </c>
      <c r="E474" s="1"/>
      <c r="F474" s="1" t="s">
        <v>2587</v>
      </c>
      <c r="G474" s="4" t="s">
        <v>2593</v>
      </c>
      <c r="H474" s="1" t="s">
        <v>2808</v>
      </c>
      <c r="I474" s="1"/>
      <c r="J474" s="1" t="s">
        <v>2808</v>
      </c>
      <c r="K474" s="1" t="s">
        <v>2808</v>
      </c>
      <c r="L474" s="1" t="s">
        <v>2808</v>
      </c>
      <c r="M474" s="1" t="s">
        <v>2808</v>
      </c>
      <c r="N474" s="1" t="s">
        <v>2808</v>
      </c>
      <c r="O474" s="1" t="s">
        <v>2808</v>
      </c>
      <c r="P474" s="9"/>
      <c r="R474" s="16">
        <f ca="1">IF(ISNUMBER(SEARCH(INDIRECT(CELL("address")),S474)),MAX($R$1:R473)+1,0)</f>
        <v>473</v>
      </c>
      <c r="S474" s="18" t="str">
        <f>Table1[[#This Row],[Portico_Specialty]]&amp;"-"&amp;Table1[[#This Row],[Code]]</f>
        <v>Orthopaedic Surgery: Pediatric Orthopaedic Surgery-207XP3100X</v>
      </c>
      <c r="U474" s="16" t="str">
        <f ca="1">IFERROR(VLOOKUP(ROWS($U$1:U473),$R$2:$S$918,2,FALSE),"")</f>
        <v>Orthopaedic Surgery: Pediatric Orthopaedic Surgery-207XP3100X</v>
      </c>
    </row>
    <row r="475" spans="1:21" x14ac:dyDescent="0.3">
      <c r="A475" s="21" t="s">
        <v>747</v>
      </c>
      <c r="B475" s="21" t="str">
        <f>Table1[[#This Row],[Code]]&amp;" "&amp;Table1[[#This Row],[Portico_Specialty]]</f>
        <v>207XX0005X Orthopaedic Surgery: Sports Medicine</v>
      </c>
      <c r="C475" s="21" t="str">
        <f>CLEAN(Table1[[#This Row],[Code]])</f>
        <v>207XX0005X</v>
      </c>
      <c r="D475" s="1" t="s">
        <v>748</v>
      </c>
      <c r="E475" s="1"/>
      <c r="F475" s="1" t="s">
        <v>2587</v>
      </c>
      <c r="G475" s="4" t="s">
        <v>2593</v>
      </c>
      <c r="H475" s="1" t="s">
        <v>2808</v>
      </c>
      <c r="I475" s="1"/>
      <c r="J475" s="1" t="s">
        <v>2808</v>
      </c>
      <c r="K475" s="1" t="s">
        <v>2808</v>
      </c>
      <c r="L475" s="1" t="s">
        <v>2808</v>
      </c>
      <c r="M475" s="1" t="s">
        <v>2808</v>
      </c>
      <c r="N475" s="1" t="s">
        <v>2808</v>
      </c>
      <c r="O475" s="1" t="s">
        <v>2808</v>
      </c>
      <c r="P475" s="9"/>
      <c r="R475" s="16">
        <f ca="1">IF(ISNUMBER(SEARCH(INDIRECT(CELL("address")),S475)),MAX($R$1:R474)+1,0)</f>
        <v>474</v>
      </c>
      <c r="S475" s="18" t="str">
        <f>Table1[[#This Row],[Portico_Specialty]]&amp;"-"&amp;Table1[[#This Row],[Code]]</f>
        <v>Orthopaedic Surgery: Sports Medicine-207XX0005X</v>
      </c>
      <c r="U475" s="16" t="str">
        <f ca="1">IFERROR(VLOOKUP(ROWS($U$1:U474),$R$2:$S$918,2,FALSE),"")</f>
        <v>Orthopaedic Surgery: Sports Medicine-207XX0005X</v>
      </c>
    </row>
    <row r="476" spans="1:21" x14ac:dyDescent="0.3">
      <c r="A476" s="21" t="s">
        <v>1039</v>
      </c>
      <c r="B476" s="21" t="str">
        <f>Table1[[#This Row],[Code]]&amp;" "&amp;Table1[[#This Row],[Portico_Specialty]]</f>
        <v>225000000X Orthotics/Prosthetics Fitter</v>
      </c>
      <c r="C476" s="21" t="str">
        <f>CLEAN(Table1[[#This Row],[Code]])</f>
        <v>225000000X</v>
      </c>
      <c r="D476" s="1" t="s">
        <v>1040</v>
      </c>
      <c r="E476" s="1"/>
      <c r="F476" s="1" t="s">
        <v>2587</v>
      </c>
      <c r="G476" s="3" t="s">
        <v>2588</v>
      </c>
      <c r="H476" s="1" t="s">
        <v>2698</v>
      </c>
      <c r="I476" s="1"/>
      <c r="J476" s="1" t="s">
        <v>2810</v>
      </c>
      <c r="K476" s="1" t="s">
        <v>2810</v>
      </c>
      <c r="L476" s="1" t="s">
        <v>2698</v>
      </c>
      <c r="M476" s="1" t="s">
        <v>2810</v>
      </c>
      <c r="N476" s="1" t="s">
        <v>2811</v>
      </c>
      <c r="O476" s="1" t="s">
        <v>2810</v>
      </c>
      <c r="P476" s="9"/>
      <c r="R476" s="16">
        <f ca="1">IF(ISNUMBER(SEARCH(INDIRECT(CELL("address")),S476)),MAX($R$1:R475)+1,0)</f>
        <v>475</v>
      </c>
      <c r="S476" s="18" t="str">
        <f>Table1[[#This Row],[Portico_Specialty]]&amp;"-"&amp;Table1[[#This Row],[Code]]</f>
        <v>Orthotics/Prosthetics Fitter-225000000X</v>
      </c>
      <c r="U476" s="16" t="str">
        <f ca="1">IFERROR(VLOOKUP(ROWS($U$1:U475),$R$2:$S$918,2,FALSE),"")</f>
        <v>Orthotics/Prosthetics Fitter-225000000X</v>
      </c>
    </row>
    <row r="477" spans="1:21" x14ac:dyDescent="0.3">
      <c r="A477" s="21" t="s">
        <v>1019</v>
      </c>
      <c r="B477" s="21" t="str">
        <f>Table1[[#This Row],[Code]]&amp;" "&amp;Table1[[#This Row],[Portico_Specialty]]</f>
        <v>222Z00000X Orthotist</v>
      </c>
      <c r="C477" s="21" t="str">
        <f>CLEAN(Table1[[#This Row],[Code]])</f>
        <v>222Z00000X</v>
      </c>
      <c r="D477" s="1" t="s">
        <v>1020</v>
      </c>
      <c r="E477" s="1"/>
      <c r="F477" s="1" t="s">
        <v>2587</v>
      </c>
      <c r="G477" s="4" t="s">
        <v>2593</v>
      </c>
      <c r="H477" s="1" t="s">
        <v>2812</v>
      </c>
      <c r="I477" s="1"/>
      <c r="J477" s="1" t="s">
        <v>2812</v>
      </c>
      <c r="K477" s="1" t="s">
        <v>2810</v>
      </c>
      <c r="L477" s="1" t="s">
        <v>2812</v>
      </c>
      <c r="M477" s="1" t="s">
        <v>2812</v>
      </c>
      <c r="N477" s="1" t="s">
        <v>2812</v>
      </c>
      <c r="O477" s="1" t="s">
        <v>2810</v>
      </c>
      <c r="P477" s="9"/>
      <c r="R477" s="16">
        <f ca="1">IF(ISNUMBER(SEARCH(INDIRECT(CELL("address")),S477)),MAX($R$1:R476)+1,0)</f>
        <v>476</v>
      </c>
      <c r="S477" s="18" t="str">
        <f>Table1[[#This Row],[Portico_Specialty]]&amp;"-"&amp;Table1[[#This Row],[Code]]</f>
        <v>Orthotist-222Z00000X</v>
      </c>
      <c r="U477" s="16" t="str">
        <f ca="1">IFERROR(VLOOKUP(ROWS($U$1:U476),$R$2:$S$918,2,FALSE),"")</f>
        <v>Orthotist-222Z00000X</v>
      </c>
    </row>
    <row r="478" spans="1:21" x14ac:dyDescent="0.3">
      <c r="A478" s="21" t="s">
        <v>751</v>
      </c>
      <c r="B478" s="21" t="str">
        <f>Table1[[#This Row],[Code]]&amp;" "&amp;Table1[[#This Row],[Portico_Specialty]]</f>
        <v>207Y00000X Otolaryngology</v>
      </c>
      <c r="C478" s="21" t="str">
        <f>CLEAN(Table1[[#This Row],[Code]])</f>
        <v>207Y00000X</v>
      </c>
      <c r="D478" s="1" t="s">
        <v>752</v>
      </c>
      <c r="E478" s="1"/>
      <c r="F478" s="1" t="s">
        <v>2587</v>
      </c>
      <c r="G478" s="4" t="s">
        <v>2593</v>
      </c>
      <c r="H478" s="1" t="s">
        <v>2813</v>
      </c>
      <c r="I478" s="1"/>
      <c r="J478" s="1" t="s">
        <v>2813</v>
      </c>
      <c r="K478" s="1" t="s">
        <v>2813</v>
      </c>
      <c r="L478" s="1" t="s">
        <v>2813</v>
      </c>
      <c r="M478" s="1" t="s">
        <v>2813</v>
      </c>
      <c r="N478" s="1" t="s">
        <v>2813</v>
      </c>
      <c r="O478" s="1" t="s">
        <v>2813</v>
      </c>
      <c r="P478" s="9"/>
      <c r="R478" s="16">
        <f ca="1">IF(ISNUMBER(SEARCH(INDIRECT(CELL("address")),S478)),MAX($R$1:R477)+1,0)</f>
        <v>477</v>
      </c>
      <c r="S478" s="18" t="str">
        <f>Table1[[#This Row],[Portico_Specialty]]&amp;"-"&amp;Table1[[#This Row],[Code]]</f>
        <v>Otolaryngology-207Y00000X</v>
      </c>
      <c r="U478" s="16" t="str">
        <f ca="1">IFERROR(VLOOKUP(ROWS($U$1:U477),$R$2:$S$918,2,FALSE),"")</f>
        <v>Otolaryngology-207Y00000X</v>
      </c>
    </row>
    <row r="479" spans="1:21" x14ac:dyDescent="0.3">
      <c r="A479" s="21" t="s">
        <v>757</v>
      </c>
      <c r="B479" s="21" t="str">
        <f>Table1[[#This Row],[Code]]&amp;" "&amp;Table1[[#This Row],[Portico_Specialty]]</f>
        <v>207YS0123X Otolaryngology: Facial Plastic Surgery</v>
      </c>
      <c r="C479" s="21" t="str">
        <f>CLEAN(Table1[[#This Row],[Code]])</f>
        <v>207YS0123X</v>
      </c>
      <c r="D479" s="1" t="s">
        <v>758</v>
      </c>
      <c r="E479" s="1"/>
      <c r="F479" s="1" t="s">
        <v>2587</v>
      </c>
      <c r="G479" s="4" t="s">
        <v>2593</v>
      </c>
      <c r="H479" s="1" t="s">
        <v>2813</v>
      </c>
      <c r="I479" s="1"/>
      <c r="J479" s="1" t="s">
        <v>2712</v>
      </c>
      <c r="K479" s="1" t="s">
        <v>2712</v>
      </c>
      <c r="L479" s="1" t="s">
        <v>2712</v>
      </c>
      <c r="M479" s="1" t="s">
        <v>2712</v>
      </c>
      <c r="N479" s="1" t="s">
        <v>2712</v>
      </c>
      <c r="O479" s="1" t="s">
        <v>2712</v>
      </c>
      <c r="P479" s="9"/>
      <c r="R479" s="16">
        <f ca="1">IF(ISNUMBER(SEARCH(INDIRECT(CELL("address")),S479)),MAX($R$1:R478)+1,0)</f>
        <v>478</v>
      </c>
      <c r="S479" s="18" t="str">
        <f>Table1[[#This Row],[Portico_Specialty]]&amp;"-"&amp;Table1[[#This Row],[Code]]</f>
        <v>Otolaryngology: Facial Plastic Surgery-207YS0123X</v>
      </c>
      <c r="U479" s="16" t="str">
        <f ca="1">IFERROR(VLOOKUP(ROWS($U$1:U478),$R$2:$S$918,2,FALSE),"")</f>
        <v>Otolaryngology: Facial Plastic Surgery-207YS0123X</v>
      </c>
    </row>
    <row r="480" spans="1:21" x14ac:dyDescent="0.3">
      <c r="A480" s="21" t="s">
        <v>761</v>
      </c>
      <c r="B480" s="21" t="str">
        <f>Table1[[#This Row],[Code]]&amp;" "&amp;Table1[[#This Row],[Portico_Specialty]]</f>
        <v>207YX0602X Otolaryngology: Otolaryngic Allergy</v>
      </c>
      <c r="C480" s="21" t="str">
        <f>CLEAN(Table1[[#This Row],[Code]])</f>
        <v>207YX0602X</v>
      </c>
      <c r="D480" s="1" t="s">
        <v>762</v>
      </c>
      <c r="E480" s="1"/>
      <c r="F480" s="1" t="s">
        <v>2587</v>
      </c>
      <c r="G480" s="4" t="s">
        <v>2593</v>
      </c>
      <c r="H480" s="1" t="s">
        <v>2813</v>
      </c>
      <c r="I480" s="1"/>
      <c r="J480" s="1" t="s">
        <v>2813</v>
      </c>
      <c r="K480" s="1" t="s">
        <v>2813</v>
      </c>
      <c r="L480" s="1" t="s">
        <v>2813</v>
      </c>
      <c r="M480" s="1" t="s">
        <v>2813</v>
      </c>
      <c r="N480" s="1" t="s">
        <v>2813</v>
      </c>
      <c r="O480" s="1" t="s">
        <v>2813</v>
      </c>
      <c r="P480" s="9"/>
      <c r="R480" s="16">
        <f ca="1">IF(ISNUMBER(SEARCH(INDIRECT(CELL("address")),S480)),MAX($R$1:R479)+1,0)</f>
        <v>479</v>
      </c>
      <c r="S480" s="18" t="str">
        <f>Table1[[#This Row],[Portico_Specialty]]&amp;"-"&amp;Table1[[#This Row],[Code]]</f>
        <v>Otolaryngology: Otolaryngic Allergy-207YX0602X</v>
      </c>
      <c r="U480" s="16" t="str">
        <f ca="1">IFERROR(VLOOKUP(ROWS($U$1:U479),$R$2:$S$918,2,FALSE),"")</f>
        <v>Otolaryngology: Otolaryngic Allergy-207YX0602X</v>
      </c>
    </row>
    <row r="481" spans="1:21" ht="30.75" x14ac:dyDescent="0.3">
      <c r="A481" s="21" t="s">
        <v>765</v>
      </c>
      <c r="B481" s="21" t="str">
        <f>Table1[[#This Row],[Code]]&amp;" "&amp;Table1[[#This Row],[Portico_Specialty]]</f>
        <v>207YX0905X Otolaryngology: Otolaryngology/Facial Plastic Surgery</v>
      </c>
      <c r="C481" s="21" t="str">
        <f>CLEAN(Table1[[#This Row],[Code]])</f>
        <v>207YX0905X</v>
      </c>
      <c r="D481" s="1" t="s">
        <v>766</v>
      </c>
      <c r="E481" s="1"/>
      <c r="F481" s="1" t="s">
        <v>2587</v>
      </c>
      <c r="G481" s="4" t="s">
        <v>2593</v>
      </c>
      <c r="H481" s="1" t="s">
        <v>2813</v>
      </c>
      <c r="I481" s="1"/>
      <c r="J481" s="1" t="s">
        <v>2712</v>
      </c>
      <c r="K481" s="1" t="s">
        <v>2813</v>
      </c>
      <c r="L481" s="1" t="s">
        <v>2712</v>
      </c>
      <c r="M481" s="1" t="s">
        <v>2712</v>
      </c>
      <c r="N481" s="1" t="s">
        <v>2712</v>
      </c>
      <c r="O481" s="1" t="s">
        <v>2813</v>
      </c>
      <c r="P481" s="9"/>
      <c r="R481" s="16">
        <f ca="1">IF(ISNUMBER(SEARCH(INDIRECT(CELL("address")),S481)),MAX($R$1:R480)+1,0)</f>
        <v>480</v>
      </c>
      <c r="S481" s="18" t="str">
        <f>Table1[[#This Row],[Portico_Specialty]]&amp;"-"&amp;Table1[[#This Row],[Code]]</f>
        <v>Otolaryngology: Otolaryngology/Facial Plastic Surgery-207YX0905X</v>
      </c>
      <c r="U481" s="16" t="str">
        <f ca="1">IFERROR(VLOOKUP(ROWS($U$1:U480),$R$2:$S$918,2,FALSE),"")</f>
        <v>Otolaryngology: Otolaryngology/Facial Plastic Surgery-207YX0905X</v>
      </c>
    </row>
    <row r="482" spans="1:21" x14ac:dyDescent="0.3">
      <c r="A482" s="21" t="s">
        <v>763</v>
      </c>
      <c r="B482" s="21" t="str">
        <f>Table1[[#This Row],[Code]]&amp;" "&amp;Table1[[#This Row],[Portico_Specialty]]</f>
        <v>207YX0901X Otolaryngology: Otology &amp; Neurotology</v>
      </c>
      <c r="C482" s="21" t="str">
        <f>CLEAN(Table1[[#This Row],[Code]])</f>
        <v>207YX0901X</v>
      </c>
      <c r="D482" s="1" t="s">
        <v>764</v>
      </c>
      <c r="E482" s="1"/>
      <c r="F482" s="1" t="s">
        <v>2587</v>
      </c>
      <c r="G482" s="4" t="s">
        <v>2593</v>
      </c>
      <c r="H482" s="1" t="s">
        <v>2813</v>
      </c>
      <c r="I482" s="1"/>
      <c r="J482" s="1" t="s">
        <v>2813</v>
      </c>
      <c r="K482" s="1" t="s">
        <v>2813</v>
      </c>
      <c r="L482" s="1" t="s">
        <v>2813</v>
      </c>
      <c r="M482" s="1" t="s">
        <v>2813</v>
      </c>
      <c r="N482" s="1" t="s">
        <v>2813</v>
      </c>
      <c r="O482" s="1" t="s">
        <v>2813</v>
      </c>
      <c r="P482" s="9"/>
      <c r="R482" s="16">
        <f ca="1">IF(ISNUMBER(SEARCH(INDIRECT(CELL("address")),S482)),MAX($R$1:R481)+1,0)</f>
        <v>481</v>
      </c>
      <c r="S482" s="18" t="str">
        <f>Table1[[#This Row],[Portico_Specialty]]&amp;"-"&amp;Table1[[#This Row],[Code]]</f>
        <v>Otolaryngology: Otology &amp; Neurotology-207YX0901X</v>
      </c>
      <c r="U482" s="16" t="str">
        <f ca="1">IFERROR(VLOOKUP(ROWS($U$1:U481),$R$2:$S$918,2,FALSE),"")</f>
        <v>Otolaryngology: Otology &amp; Neurotology-207YX0901X</v>
      </c>
    </row>
    <row r="483" spans="1:21" x14ac:dyDescent="0.3">
      <c r="A483" s="21" t="s">
        <v>753</v>
      </c>
      <c r="B483" s="21" t="str">
        <f>Table1[[#This Row],[Code]]&amp;" "&amp;Table1[[#This Row],[Portico_Specialty]]</f>
        <v>207YP0228X Otolaryngology: Pediatric Otolaryngology</v>
      </c>
      <c r="C483" s="21" t="str">
        <f>CLEAN(Table1[[#This Row],[Code]])</f>
        <v>207YP0228X</v>
      </c>
      <c r="D483" s="1" t="s">
        <v>754</v>
      </c>
      <c r="E483" s="1"/>
      <c r="F483" s="1" t="s">
        <v>2587</v>
      </c>
      <c r="G483" s="4" t="s">
        <v>2593</v>
      </c>
      <c r="H483" s="1" t="s">
        <v>2813</v>
      </c>
      <c r="I483" s="1"/>
      <c r="J483" s="1" t="s">
        <v>2813</v>
      </c>
      <c r="K483" s="1" t="s">
        <v>2813</v>
      </c>
      <c r="L483" s="1" t="s">
        <v>2813</v>
      </c>
      <c r="M483" s="1" t="s">
        <v>2813</v>
      </c>
      <c r="N483" s="1" t="s">
        <v>2813</v>
      </c>
      <c r="O483" s="1" t="s">
        <v>2813</v>
      </c>
      <c r="P483" s="9"/>
      <c r="R483" s="16">
        <f ca="1">IF(ISNUMBER(SEARCH(INDIRECT(CELL("address")),S483)),MAX($R$1:R482)+1,0)</f>
        <v>482</v>
      </c>
      <c r="S483" s="18" t="str">
        <f>Table1[[#This Row],[Portico_Specialty]]&amp;"-"&amp;Table1[[#This Row],[Code]]</f>
        <v>Otolaryngology: Pediatric Otolaryngology-207YP0228X</v>
      </c>
      <c r="U483" s="16" t="str">
        <f ca="1">IFERROR(VLOOKUP(ROWS($U$1:U482),$R$2:$S$918,2,FALSE),"")</f>
        <v>Otolaryngology: Pediatric Otolaryngology-207YP0228X</v>
      </c>
    </row>
    <row r="484" spans="1:21" ht="30.75" x14ac:dyDescent="0.3">
      <c r="A484" s="21" t="s">
        <v>759</v>
      </c>
      <c r="B484" s="21" t="str">
        <f>Table1[[#This Row],[Code]]&amp;" "&amp;Table1[[#This Row],[Portico_Specialty]]</f>
        <v>207YX0007X Otolaryngology: Plastic Surgery within the Head &amp; Neck</v>
      </c>
      <c r="C484" s="21" t="str">
        <f>CLEAN(Table1[[#This Row],[Code]])</f>
        <v>207YX0007X</v>
      </c>
      <c r="D484" s="1" t="s">
        <v>760</v>
      </c>
      <c r="E484" s="1"/>
      <c r="F484" s="1" t="s">
        <v>2587</v>
      </c>
      <c r="G484" s="4" t="s">
        <v>2593</v>
      </c>
      <c r="H484" s="1" t="s">
        <v>2813</v>
      </c>
      <c r="I484" s="1"/>
      <c r="J484" s="1" t="s">
        <v>2712</v>
      </c>
      <c r="K484" s="1" t="s">
        <v>2712</v>
      </c>
      <c r="L484" s="1" t="s">
        <v>2712</v>
      </c>
      <c r="M484" s="1" t="s">
        <v>2712</v>
      </c>
      <c r="N484" s="1" t="s">
        <v>2712</v>
      </c>
      <c r="O484" s="1" t="s">
        <v>2712</v>
      </c>
      <c r="P484" s="9"/>
      <c r="R484" s="16">
        <f ca="1">IF(ISNUMBER(SEARCH(INDIRECT(CELL("address")),S484)),MAX($R$1:R483)+1,0)</f>
        <v>483</v>
      </c>
      <c r="S484" s="18" t="str">
        <f>Table1[[#This Row],[Portico_Specialty]]&amp;"-"&amp;Table1[[#This Row],[Code]]</f>
        <v>Otolaryngology: Plastic Surgery within the Head &amp; Neck-207YX0007X</v>
      </c>
      <c r="U484" s="16" t="str">
        <f ca="1">IFERROR(VLOOKUP(ROWS($U$1:U483),$R$2:$S$918,2,FALSE),"")</f>
        <v>Otolaryngology: Plastic Surgery within the Head &amp; Neck-207YX0007X</v>
      </c>
    </row>
    <row r="485" spans="1:21" x14ac:dyDescent="0.3">
      <c r="A485" s="21" t="s">
        <v>755</v>
      </c>
      <c r="B485" s="21" t="str">
        <f>Table1[[#This Row],[Code]]&amp;" "&amp;Table1[[#This Row],[Portico_Specialty]]</f>
        <v>207YS0012X Otolaryngology: Sleep Medicine</v>
      </c>
      <c r="C485" s="21" t="str">
        <f>CLEAN(Table1[[#This Row],[Code]])</f>
        <v>207YS0012X</v>
      </c>
      <c r="D485" s="1" t="s">
        <v>756</v>
      </c>
      <c r="E485" s="1"/>
      <c r="F485" s="1" t="s">
        <v>2587</v>
      </c>
      <c r="G485" s="4" t="s">
        <v>2593</v>
      </c>
      <c r="H485" s="1" t="s">
        <v>2813</v>
      </c>
      <c r="I485" s="1"/>
      <c r="J485" s="1" t="s">
        <v>2813</v>
      </c>
      <c r="K485" s="1" t="s">
        <v>2813</v>
      </c>
      <c r="L485" s="1" t="s">
        <v>2813</v>
      </c>
      <c r="M485" s="1" t="s">
        <v>2813</v>
      </c>
      <c r="N485" s="1" t="s">
        <v>2813</v>
      </c>
      <c r="O485" s="1" t="s">
        <v>2813</v>
      </c>
      <c r="P485" s="9"/>
      <c r="R485" s="16">
        <f ca="1">IF(ISNUMBER(SEARCH(INDIRECT(CELL("address")),S485)),MAX($R$1:R484)+1,0)</f>
        <v>484</v>
      </c>
      <c r="S485" s="18" t="str">
        <f>Table1[[#This Row],[Portico_Specialty]]&amp;"-"&amp;Table1[[#This Row],[Code]]</f>
        <v>Otolaryngology: Sleep Medicine-207YS0012X</v>
      </c>
      <c r="U485" s="16" t="str">
        <f ca="1">IFERROR(VLOOKUP(ROWS($U$1:U484),$R$2:$S$918,2,FALSE),"")</f>
        <v>Otolaryngology: Sleep Medicine-207YS0012X</v>
      </c>
    </row>
    <row r="486" spans="1:21" x14ac:dyDescent="0.3">
      <c r="A486" s="21" t="s">
        <v>1347</v>
      </c>
      <c r="B486" s="21" t="str">
        <f>Table1[[#This Row],[Code]]&amp;" "&amp;Table1[[#This Row],[Portico_Specialty]]</f>
        <v>251T00000X PACE Provider Organization</v>
      </c>
      <c r="C486" s="21" t="str">
        <f>CLEAN(Table1[[#This Row],[Code]])</f>
        <v>251T00000X</v>
      </c>
      <c r="D486" s="1" t="s">
        <v>1348</v>
      </c>
      <c r="E486" s="1"/>
      <c r="F486" s="1" t="s">
        <v>2587</v>
      </c>
      <c r="G486" s="3" t="s">
        <v>2588</v>
      </c>
      <c r="H486" s="1" t="s">
        <v>2615</v>
      </c>
      <c r="I486" s="1"/>
      <c r="J486" s="1" t="s">
        <v>2590</v>
      </c>
      <c r="K486" s="1" t="s">
        <v>2621</v>
      </c>
      <c r="L486" s="1"/>
      <c r="M486" s="1"/>
      <c r="N486" s="1"/>
      <c r="O486" s="1" t="s">
        <v>2621</v>
      </c>
      <c r="P486" s="9"/>
      <c r="R486" s="16">
        <f ca="1">IF(ISNUMBER(SEARCH(INDIRECT(CELL("address")),S486)),MAX($R$1:R485)+1,0)</f>
        <v>485</v>
      </c>
      <c r="S486" s="18" t="str">
        <f>Table1[[#This Row],[Portico_Specialty]]&amp;"-"&amp;Table1[[#This Row],[Code]]</f>
        <v>PACE Provider Organization-251T00000X</v>
      </c>
      <c r="U486" s="16" t="str">
        <f ca="1">IFERROR(VLOOKUP(ROWS($U$1:U485),$R$2:$S$918,2,FALSE),"")</f>
        <v>PACE Provider Organization-251T00000X</v>
      </c>
    </row>
    <row r="487" spans="1:21" ht="30.75" x14ac:dyDescent="0.3">
      <c r="A487" s="21" t="s">
        <v>993</v>
      </c>
      <c r="B487" s="21" t="str">
        <f>Table1[[#This Row],[Code]]&amp;" "&amp;Table1[[#This Row],[Portico_Specialty]]</f>
        <v>208VP0014X Pain Medicine: Interventional Pain Medicine</v>
      </c>
      <c r="C487" s="21" t="str">
        <f>CLEAN(Table1[[#This Row],[Code]])</f>
        <v>208VP0014X</v>
      </c>
      <c r="D487" s="1" t="s">
        <v>994</v>
      </c>
      <c r="E487" s="1"/>
      <c r="F487" s="1" t="s">
        <v>2587</v>
      </c>
      <c r="G487" s="4" t="s">
        <v>2593</v>
      </c>
      <c r="H487" s="1" t="s">
        <v>2606</v>
      </c>
      <c r="I487" s="1"/>
      <c r="J487" s="1" t="s">
        <v>2606</v>
      </c>
      <c r="K487" s="1" t="s">
        <v>2814</v>
      </c>
      <c r="L487" s="1" t="s">
        <v>2606</v>
      </c>
      <c r="M487" s="1" t="s">
        <v>2606</v>
      </c>
      <c r="N487" s="1" t="s">
        <v>2606</v>
      </c>
      <c r="O487" s="1" t="s">
        <v>2814</v>
      </c>
      <c r="P487" s="9"/>
      <c r="R487" s="16">
        <f ca="1">IF(ISNUMBER(SEARCH(INDIRECT(CELL("address")),S487)),MAX($R$1:R486)+1,0)</f>
        <v>486</v>
      </c>
      <c r="S487" s="18" t="str">
        <f>Table1[[#This Row],[Portico_Specialty]]&amp;"-"&amp;Table1[[#This Row],[Code]]</f>
        <v>Pain Medicine: Interventional Pain Medicine-208VP0014X</v>
      </c>
      <c r="U487" s="16" t="str">
        <f ca="1">IFERROR(VLOOKUP(ROWS($U$1:U486),$R$2:$S$918,2,FALSE),"")</f>
        <v>Pain Medicine: Interventional Pain Medicine-208VP0014X</v>
      </c>
    </row>
    <row r="488" spans="1:21" x14ac:dyDescent="0.3">
      <c r="A488" s="21" t="s">
        <v>991</v>
      </c>
      <c r="B488" s="21" t="str">
        <f>Table1[[#This Row],[Code]]&amp;" "&amp;Table1[[#This Row],[Portico_Specialty]]</f>
        <v>208VP0000X Pain Medicine: Pain Medicine</v>
      </c>
      <c r="C488" s="21" t="str">
        <f>CLEAN(Table1[[#This Row],[Code]])</f>
        <v>208VP0000X</v>
      </c>
      <c r="D488" s="1" t="s">
        <v>992</v>
      </c>
      <c r="E488" s="1"/>
      <c r="F488" s="4" t="s">
        <v>2619</v>
      </c>
      <c r="G488" s="4" t="s">
        <v>2593</v>
      </c>
      <c r="H488" s="1" t="s">
        <v>2606</v>
      </c>
      <c r="I488" s="1"/>
      <c r="J488" s="1" t="s">
        <v>2814</v>
      </c>
      <c r="K488" s="1" t="s">
        <v>2814</v>
      </c>
      <c r="L488" s="1" t="s">
        <v>2606</v>
      </c>
      <c r="M488" s="1" t="s">
        <v>2814</v>
      </c>
      <c r="N488" s="1" t="s">
        <v>2814</v>
      </c>
      <c r="O488" s="1" t="s">
        <v>2814</v>
      </c>
      <c r="P488" s="9"/>
      <c r="R488" s="16">
        <f ca="1">IF(ISNUMBER(SEARCH(INDIRECT(CELL("address")),S488)),MAX($R$1:R487)+1,0)</f>
        <v>487</v>
      </c>
      <c r="S488" s="18" t="str">
        <f>Table1[[#This Row],[Portico_Specialty]]&amp;"-"&amp;Table1[[#This Row],[Code]]</f>
        <v>Pain Medicine: Pain Medicine-208VP0000X</v>
      </c>
      <c r="U488" s="16" t="str">
        <f ca="1">IFERROR(VLOOKUP(ROWS($U$1:U487),$R$2:$S$918,2,FALSE),"")</f>
        <v>Pain Medicine: Pain Medicine-208VP0000X</v>
      </c>
    </row>
    <row r="489" spans="1:21" x14ac:dyDescent="0.3">
      <c r="A489" s="21" t="s">
        <v>789</v>
      </c>
      <c r="B489" s="21" t="str">
        <f>Table1[[#This Row],[Code]]&amp;" "&amp;Table1[[#This Row],[Portico_Specialty]]</f>
        <v>207ZP0101X Pathology: Anatomic Pathology</v>
      </c>
      <c r="C489" s="21" t="str">
        <f>CLEAN(Table1[[#This Row],[Code]])</f>
        <v>207ZP0101X</v>
      </c>
      <c r="D489" s="1" t="s">
        <v>790</v>
      </c>
      <c r="E489" s="1"/>
      <c r="F489" s="1" t="s">
        <v>2587</v>
      </c>
      <c r="G489" s="4" t="s">
        <v>2593</v>
      </c>
      <c r="H489" s="1" t="s">
        <v>2815</v>
      </c>
      <c r="I489" s="1"/>
      <c r="J489" s="1" t="s">
        <v>2815</v>
      </c>
      <c r="K489" s="1" t="s">
        <v>2815</v>
      </c>
      <c r="L489" s="1" t="s">
        <v>2815</v>
      </c>
      <c r="M489" s="1" t="s">
        <v>2815</v>
      </c>
      <c r="N489" s="1" t="s">
        <v>2815</v>
      </c>
      <c r="O489" s="1" t="s">
        <v>2815</v>
      </c>
      <c r="P489" s="9"/>
      <c r="R489" s="16">
        <f ca="1">IF(ISNUMBER(SEARCH(INDIRECT(CELL("address")),S489)),MAX($R$1:R488)+1,0)</f>
        <v>488</v>
      </c>
      <c r="S489" s="18" t="str">
        <f>Table1[[#This Row],[Portico_Specialty]]&amp;"-"&amp;Table1[[#This Row],[Code]]</f>
        <v>Pathology: Anatomic Pathology-207ZP0101X</v>
      </c>
      <c r="U489" s="16" t="str">
        <f ca="1">IFERROR(VLOOKUP(ROWS($U$1:U488),$R$2:$S$918,2,FALSE),"")</f>
        <v>Pathology: Anatomic Pathology-207ZP0101X</v>
      </c>
    </row>
    <row r="490" spans="1:21" ht="30.75" x14ac:dyDescent="0.3">
      <c r="A490" s="21" t="s">
        <v>791</v>
      </c>
      <c r="B490" s="21" t="str">
        <f>Table1[[#This Row],[Code]]&amp;" "&amp;Table1[[#This Row],[Portico_Specialty]]</f>
        <v>207ZP0102X Pathology: Anatomic Pathology &amp; Clinical Pathology</v>
      </c>
      <c r="C490" s="21" t="str">
        <f>CLEAN(Table1[[#This Row],[Code]])</f>
        <v>207ZP0102X</v>
      </c>
      <c r="D490" s="1" t="s">
        <v>792</v>
      </c>
      <c r="E490" s="1"/>
      <c r="F490" s="1" t="s">
        <v>2587</v>
      </c>
      <c r="G490" s="4" t="s">
        <v>2593</v>
      </c>
      <c r="H490" s="1" t="s">
        <v>2815</v>
      </c>
      <c r="I490" s="1"/>
      <c r="J490" s="1" t="s">
        <v>2815</v>
      </c>
      <c r="K490" s="1" t="s">
        <v>2815</v>
      </c>
      <c r="L490" s="1" t="s">
        <v>2815</v>
      </c>
      <c r="M490" s="1" t="s">
        <v>2815</v>
      </c>
      <c r="N490" s="1" t="s">
        <v>2815</v>
      </c>
      <c r="O490" s="1" t="s">
        <v>2815</v>
      </c>
      <c r="P490" s="9"/>
      <c r="R490" s="16">
        <f ca="1">IF(ISNUMBER(SEARCH(INDIRECT(CELL("address")),S490)),MAX($R$1:R489)+1,0)</f>
        <v>489</v>
      </c>
      <c r="S490" s="18" t="str">
        <f>Table1[[#This Row],[Portico_Specialty]]&amp;"-"&amp;Table1[[#This Row],[Code]]</f>
        <v>Pathology: Anatomic Pathology &amp; Clinical Pathology-207ZP0102X</v>
      </c>
      <c r="U490" s="16" t="str">
        <f ca="1">IFERROR(VLOOKUP(ROWS($U$1:U489),$R$2:$S$918,2,FALSE),"")</f>
        <v>Pathology: Anatomic Pathology &amp; Clinical Pathology-207ZP0102X</v>
      </c>
    </row>
    <row r="491" spans="1:21" ht="30.75" x14ac:dyDescent="0.3">
      <c r="A491" s="21" t="s">
        <v>767</v>
      </c>
      <c r="B491" s="21" t="str">
        <f>Table1[[#This Row],[Code]]&amp;" "&amp;Table1[[#This Row],[Portico_Specialty]]</f>
        <v>207ZB0001X Pathology: Blood Banking &amp; Transfusion Medicine</v>
      </c>
      <c r="C491" s="21" t="str">
        <f>CLEAN(Table1[[#This Row],[Code]])</f>
        <v>207ZB0001X</v>
      </c>
      <c r="D491" s="1" t="s">
        <v>768</v>
      </c>
      <c r="E491" s="1"/>
      <c r="F491" s="1" t="s">
        <v>2587</v>
      </c>
      <c r="G491" s="4" t="s">
        <v>2593</v>
      </c>
      <c r="H491" s="1" t="s">
        <v>2815</v>
      </c>
      <c r="I491" s="1"/>
      <c r="J491" s="1" t="s">
        <v>2815</v>
      </c>
      <c r="K491" s="1" t="s">
        <v>2815</v>
      </c>
      <c r="L491" s="1" t="s">
        <v>2815</v>
      </c>
      <c r="M491" s="1" t="s">
        <v>2815</v>
      </c>
      <c r="N491" s="1" t="s">
        <v>2815</v>
      </c>
      <c r="O491" s="1" t="s">
        <v>2815</v>
      </c>
      <c r="P491" s="9"/>
      <c r="R491" s="16">
        <f ca="1">IF(ISNUMBER(SEARCH(INDIRECT(CELL("address")),S491)),MAX($R$1:R490)+1,0)</f>
        <v>490</v>
      </c>
      <c r="S491" s="18" t="str">
        <f>Table1[[#This Row],[Portico_Specialty]]&amp;"-"&amp;Table1[[#This Row],[Code]]</f>
        <v>Pathology: Blood Banking &amp; Transfusion Medicine-207ZB0001X</v>
      </c>
      <c r="U491" s="16" t="str">
        <f ca="1">IFERROR(VLOOKUP(ROWS($U$1:U490),$R$2:$S$918,2,FALSE),"")</f>
        <v>Pathology: Blood Banking &amp; Transfusion Medicine-207ZB0001X</v>
      </c>
    </row>
    <row r="492" spans="1:21" x14ac:dyDescent="0.3">
      <c r="A492" s="21" t="s">
        <v>793</v>
      </c>
      <c r="B492" s="21" t="str">
        <f>Table1[[#This Row],[Code]]&amp;" "&amp;Table1[[#This Row],[Portico_Specialty]]</f>
        <v>207ZP0104X Pathology: Chemical Pathology</v>
      </c>
      <c r="C492" s="21" t="str">
        <f>CLEAN(Table1[[#This Row],[Code]])</f>
        <v>207ZP0104X</v>
      </c>
      <c r="D492" s="1" t="s">
        <v>794</v>
      </c>
      <c r="E492" s="1"/>
      <c r="F492" s="1" t="s">
        <v>2587</v>
      </c>
      <c r="G492" s="4" t="s">
        <v>2593</v>
      </c>
      <c r="H492" s="1" t="s">
        <v>2815</v>
      </c>
      <c r="I492" s="1"/>
      <c r="J492" s="1" t="s">
        <v>2815</v>
      </c>
      <c r="K492" s="1" t="s">
        <v>2815</v>
      </c>
      <c r="L492" s="1" t="s">
        <v>2815</v>
      </c>
      <c r="M492" s="1" t="s">
        <v>2815</v>
      </c>
      <c r="N492" s="1" t="s">
        <v>2815</v>
      </c>
      <c r="O492" s="1" t="s">
        <v>2815</v>
      </c>
      <c r="P492" s="9"/>
      <c r="R492" s="16">
        <f ca="1">IF(ISNUMBER(SEARCH(INDIRECT(CELL("address")),S492)),MAX($R$1:R491)+1,0)</f>
        <v>491</v>
      </c>
      <c r="S492" s="18" t="str">
        <f>Table1[[#This Row],[Portico_Specialty]]&amp;"-"&amp;Table1[[#This Row],[Code]]</f>
        <v>Pathology: Chemical Pathology-207ZP0104X</v>
      </c>
      <c r="U492" s="16" t="str">
        <f ca="1">IFERROR(VLOOKUP(ROWS($U$1:U491),$R$2:$S$918,2,FALSE),"")</f>
        <v>Pathology: Chemical Pathology-207ZP0104X</v>
      </c>
    </row>
    <row r="493" spans="1:21" x14ac:dyDescent="0.3">
      <c r="A493" s="21" t="s">
        <v>771</v>
      </c>
      <c r="B493" s="21" t="str">
        <f>Table1[[#This Row],[Code]]&amp;" "&amp;Table1[[#This Row],[Portico_Specialty]]</f>
        <v>207ZC0008X Pathology: Clinical Informatics</v>
      </c>
      <c r="C493" s="21" t="str">
        <f>CLEAN(Table1[[#This Row],[Code]])</f>
        <v>207ZC0008X</v>
      </c>
      <c r="D493" s="1" t="s">
        <v>772</v>
      </c>
      <c r="E493" s="1"/>
      <c r="F493" s="1" t="s">
        <v>2587</v>
      </c>
      <c r="G493" s="3" t="s">
        <v>2588</v>
      </c>
      <c r="H493" s="1"/>
      <c r="I493" s="1"/>
      <c r="J493" s="1" t="s">
        <v>2590</v>
      </c>
      <c r="K493" s="1" t="s">
        <v>2815</v>
      </c>
      <c r="L493" s="1"/>
      <c r="M493" s="1"/>
      <c r="N493" s="1"/>
      <c r="O493" s="1" t="s">
        <v>2815</v>
      </c>
      <c r="P493" s="9"/>
      <c r="R493" s="16">
        <f ca="1">IF(ISNUMBER(SEARCH(INDIRECT(CELL("address")),S493)),MAX($R$1:R492)+1,0)</f>
        <v>492</v>
      </c>
      <c r="S493" s="18" t="str">
        <f>Table1[[#This Row],[Portico_Specialty]]&amp;"-"&amp;Table1[[#This Row],[Code]]</f>
        <v>Pathology: Clinical Informatics-207ZC0008X</v>
      </c>
      <c r="U493" s="16" t="str">
        <f ca="1">IFERROR(VLOOKUP(ROWS($U$1:U492),$R$2:$S$918,2,FALSE),"")</f>
        <v>Pathology: Clinical Informatics-207ZC0008X</v>
      </c>
    </row>
    <row r="494" spans="1:21" ht="30.75" x14ac:dyDescent="0.3">
      <c r="A494" s="21" t="s">
        <v>1327</v>
      </c>
      <c r="B494" s="21" t="str">
        <f>Table1[[#This Row],[Code]]&amp;" "&amp;Table1[[#This Row],[Portico_Specialty]]</f>
        <v>247ZC0005X Pathology: Clinical Laboratory Director, Non-physician</v>
      </c>
      <c r="C494" s="21" t="str">
        <f>CLEAN(Table1[[#This Row],[Code]])</f>
        <v>247ZC0005X</v>
      </c>
      <c r="D494" s="1" t="s">
        <v>1328</v>
      </c>
      <c r="E494" s="1"/>
      <c r="F494" s="1" t="s">
        <v>2587</v>
      </c>
      <c r="G494" s="3" t="s">
        <v>2588</v>
      </c>
      <c r="H494" s="1"/>
      <c r="I494" s="1"/>
      <c r="J494" s="1" t="s">
        <v>2590</v>
      </c>
      <c r="K494" s="1" t="s">
        <v>2815</v>
      </c>
      <c r="L494" s="1"/>
      <c r="M494" s="1"/>
      <c r="N494" s="1"/>
      <c r="O494" s="1" t="s">
        <v>2815</v>
      </c>
      <c r="P494" s="9"/>
      <c r="R494" s="16">
        <f ca="1">IF(ISNUMBER(SEARCH(INDIRECT(CELL("address")),S494)),MAX($R$1:R493)+1,0)</f>
        <v>493</v>
      </c>
      <c r="S494" s="18" t="str">
        <f>Table1[[#This Row],[Portico_Specialty]]&amp;"-"&amp;Table1[[#This Row],[Code]]</f>
        <v>Pathology: Clinical Laboratory Director, Non-physician-247ZC0005X</v>
      </c>
      <c r="U494" s="16" t="str">
        <f ca="1">IFERROR(VLOOKUP(ROWS($U$1:U493),$R$2:$S$918,2,FALSE),"")</f>
        <v>Pathology: Clinical Laboratory Director, Non-physician-247ZC0005X</v>
      </c>
    </row>
    <row r="495" spans="1:21" x14ac:dyDescent="0.3">
      <c r="A495" s="21" t="s">
        <v>769</v>
      </c>
      <c r="B495" s="21" t="str">
        <f>Table1[[#This Row],[Code]]&amp;" "&amp;Table1[[#This Row],[Portico_Specialty]]</f>
        <v>207ZC0006X Pathology: Clinical Pathology</v>
      </c>
      <c r="C495" s="21" t="str">
        <f>CLEAN(Table1[[#This Row],[Code]])</f>
        <v>207ZC0006X</v>
      </c>
      <c r="D495" s="1" t="s">
        <v>770</v>
      </c>
      <c r="E495" s="1"/>
      <c r="F495" s="1" t="s">
        <v>2587</v>
      </c>
      <c r="G495" s="4" t="s">
        <v>2593</v>
      </c>
      <c r="H495" s="1" t="s">
        <v>2815</v>
      </c>
      <c r="I495" s="1"/>
      <c r="J495" s="1" t="s">
        <v>2815</v>
      </c>
      <c r="K495" s="1" t="s">
        <v>2815</v>
      </c>
      <c r="L495" s="1" t="s">
        <v>2815</v>
      </c>
      <c r="M495" s="1" t="s">
        <v>2815</v>
      </c>
      <c r="N495" s="1" t="s">
        <v>2815</v>
      </c>
      <c r="O495" s="1" t="s">
        <v>2815</v>
      </c>
      <c r="P495" s="9"/>
      <c r="R495" s="16">
        <f ca="1">IF(ISNUMBER(SEARCH(INDIRECT(CELL("address")),S495)),MAX($R$1:R494)+1,0)</f>
        <v>494</v>
      </c>
      <c r="S495" s="18" t="str">
        <f>Table1[[#This Row],[Portico_Specialty]]&amp;"-"&amp;Table1[[#This Row],[Code]]</f>
        <v>Pathology: Clinical Pathology-207ZC0006X</v>
      </c>
      <c r="U495" s="16" t="str">
        <f ca="1">IFERROR(VLOOKUP(ROWS($U$1:U494),$R$2:$S$918,2,FALSE),"")</f>
        <v>Pathology: Clinical Pathology-207ZC0006X</v>
      </c>
    </row>
    <row r="496" spans="1:21" ht="30.75" x14ac:dyDescent="0.3">
      <c r="A496" s="21" t="s">
        <v>795</v>
      </c>
      <c r="B496" s="21" t="str">
        <f>Table1[[#This Row],[Code]]&amp;" "&amp;Table1[[#This Row],[Portico_Specialty]]</f>
        <v>207ZP0105X Pathology: Clinical Pathology/Laboratory Medicine</v>
      </c>
      <c r="C496" s="21" t="str">
        <f>CLEAN(Table1[[#This Row],[Code]])</f>
        <v>207ZP0105X</v>
      </c>
      <c r="D496" s="1" t="s">
        <v>796</v>
      </c>
      <c r="E496" s="1"/>
      <c r="F496" s="1" t="s">
        <v>2587</v>
      </c>
      <c r="G496" s="4" t="s">
        <v>2593</v>
      </c>
      <c r="H496" s="1" t="s">
        <v>2815</v>
      </c>
      <c r="I496" s="1"/>
      <c r="J496" s="1" t="s">
        <v>2815</v>
      </c>
      <c r="K496" s="1" t="s">
        <v>2815</v>
      </c>
      <c r="L496" s="1" t="s">
        <v>2815</v>
      </c>
      <c r="M496" s="1" t="s">
        <v>2815</v>
      </c>
      <c r="N496" s="1" t="s">
        <v>2815</v>
      </c>
      <c r="O496" s="1" t="s">
        <v>2815</v>
      </c>
      <c r="P496" s="9"/>
      <c r="R496" s="16">
        <f ca="1">IF(ISNUMBER(SEARCH(INDIRECT(CELL("address")),S496)),MAX($R$1:R495)+1,0)</f>
        <v>495</v>
      </c>
      <c r="S496" s="18" t="str">
        <f>Table1[[#This Row],[Portico_Specialty]]&amp;"-"&amp;Table1[[#This Row],[Code]]</f>
        <v>Pathology: Clinical Pathology/Laboratory Medicine-207ZP0105X</v>
      </c>
      <c r="U496" s="16" t="str">
        <f ca="1">IFERROR(VLOOKUP(ROWS($U$1:U495),$R$2:$S$918,2,FALSE),"")</f>
        <v>Pathology: Clinical Pathology/Laboratory Medicine-207ZP0105X</v>
      </c>
    </row>
    <row r="497" spans="1:21" x14ac:dyDescent="0.3">
      <c r="A497" s="21" t="s">
        <v>773</v>
      </c>
      <c r="B497" s="21" t="str">
        <f>Table1[[#This Row],[Code]]&amp;" "&amp;Table1[[#This Row],[Portico_Specialty]]</f>
        <v>207ZC0500X Pathology: Cytopathology</v>
      </c>
      <c r="C497" s="21" t="str">
        <f>CLEAN(Table1[[#This Row],[Code]])</f>
        <v>207ZC0500X</v>
      </c>
      <c r="D497" s="1" t="s">
        <v>774</v>
      </c>
      <c r="E497" s="1"/>
      <c r="F497" s="1" t="s">
        <v>2587</v>
      </c>
      <c r="G497" s="4" t="s">
        <v>2593</v>
      </c>
      <c r="H497" s="1" t="s">
        <v>2815</v>
      </c>
      <c r="I497" s="1"/>
      <c r="J497" s="1" t="s">
        <v>2815</v>
      </c>
      <c r="K497" s="1" t="s">
        <v>2815</v>
      </c>
      <c r="L497" s="1" t="s">
        <v>2815</v>
      </c>
      <c r="M497" s="1" t="s">
        <v>2815</v>
      </c>
      <c r="N497" s="1" t="s">
        <v>2815</v>
      </c>
      <c r="O497" s="1" t="s">
        <v>2815</v>
      </c>
      <c r="P497" s="9"/>
      <c r="R497" s="16">
        <f ca="1">IF(ISNUMBER(SEARCH(INDIRECT(CELL("address")),S497)),MAX($R$1:R496)+1,0)</f>
        <v>496</v>
      </c>
      <c r="S497" s="18" t="str">
        <f>Table1[[#This Row],[Portico_Specialty]]&amp;"-"&amp;Table1[[#This Row],[Code]]</f>
        <v>Pathology: Cytopathology-207ZC0500X</v>
      </c>
      <c r="U497" s="16" t="str">
        <f ca="1">IFERROR(VLOOKUP(ROWS($U$1:U496),$R$2:$S$918,2,FALSE),"")</f>
        <v>Pathology: Cytopathology-207ZC0500X</v>
      </c>
    </row>
    <row r="498" spans="1:21" x14ac:dyDescent="0.3">
      <c r="A498" s="21" t="s">
        <v>775</v>
      </c>
      <c r="B498" s="21" t="str">
        <f>Table1[[#This Row],[Code]]&amp;" "&amp;Table1[[#This Row],[Portico_Specialty]]</f>
        <v>207ZD0900X Pathology: Dermatopathology</v>
      </c>
      <c r="C498" s="21" t="str">
        <f>CLEAN(Table1[[#This Row],[Code]])</f>
        <v>207ZD0900X</v>
      </c>
      <c r="D498" s="1" t="s">
        <v>776</v>
      </c>
      <c r="E498" s="1"/>
      <c r="F498" s="1" t="s">
        <v>2587</v>
      </c>
      <c r="G498" s="4" t="s">
        <v>2593</v>
      </c>
      <c r="H498" s="1" t="s">
        <v>2815</v>
      </c>
      <c r="I498" s="1"/>
      <c r="J498" s="1" t="s">
        <v>2815</v>
      </c>
      <c r="K498" s="1" t="s">
        <v>2815</v>
      </c>
      <c r="L498" s="1" t="s">
        <v>2815</v>
      </c>
      <c r="M498" s="1" t="s">
        <v>2815</v>
      </c>
      <c r="N498" s="1" t="s">
        <v>2815</v>
      </c>
      <c r="O498" s="1" t="s">
        <v>2815</v>
      </c>
      <c r="P498" s="9"/>
      <c r="R498" s="16">
        <f ca="1">IF(ISNUMBER(SEARCH(INDIRECT(CELL("address")),S498)),MAX($R$1:R497)+1,0)</f>
        <v>497</v>
      </c>
      <c r="S498" s="18" t="str">
        <f>Table1[[#This Row],[Portico_Specialty]]&amp;"-"&amp;Table1[[#This Row],[Code]]</f>
        <v>Pathology: Dermatopathology-207ZD0900X</v>
      </c>
      <c r="U498" s="16" t="str">
        <f ca="1">IFERROR(VLOOKUP(ROWS($U$1:U497),$R$2:$S$918,2,FALSE),"")</f>
        <v>Pathology: Dermatopathology-207ZD0900X</v>
      </c>
    </row>
    <row r="499" spans="1:21" x14ac:dyDescent="0.3">
      <c r="A499" s="21" t="s">
        <v>777</v>
      </c>
      <c r="B499" s="21" t="str">
        <f>Table1[[#This Row],[Code]]&amp;" "&amp;Table1[[#This Row],[Portico_Specialty]]</f>
        <v>207ZF0201X Pathology: Forensic Pathology</v>
      </c>
      <c r="C499" s="21" t="str">
        <f>CLEAN(Table1[[#This Row],[Code]])</f>
        <v>207ZF0201X</v>
      </c>
      <c r="D499" s="1" t="s">
        <v>778</v>
      </c>
      <c r="E499" s="1"/>
      <c r="F499" s="1" t="s">
        <v>2587</v>
      </c>
      <c r="G499" s="4" t="s">
        <v>2593</v>
      </c>
      <c r="H499" s="1" t="s">
        <v>2815</v>
      </c>
      <c r="I499" s="1"/>
      <c r="J499" s="1" t="s">
        <v>2815</v>
      </c>
      <c r="K499" s="1" t="s">
        <v>2815</v>
      </c>
      <c r="L499" s="1" t="s">
        <v>2815</v>
      </c>
      <c r="M499" s="1" t="s">
        <v>2815</v>
      </c>
      <c r="N499" s="1" t="s">
        <v>2815</v>
      </c>
      <c r="O499" s="1" t="s">
        <v>2815</v>
      </c>
      <c r="P499" s="9"/>
      <c r="R499" s="16">
        <f ca="1">IF(ISNUMBER(SEARCH(INDIRECT(CELL("address")),S499)),MAX($R$1:R498)+1,0)</f>
        <v>498</v>
      </c>
      <c r="S499" s="18" t="str">
        <f>Table1[[#This Row],[Portico_Specialty]]&amp;"-"&amp;Table1[[#This Row],[Code]]</f>
        <v>Pathology: Forensic Pathology-207ZF0201X</v>
      </c>
      <c r="U499" s="16" t="str">
        <f ca="1">IFERROR(VLOOKUP(ROWS($U$1:U498),$R$2:$S$918,2,FALSE),"")</f>
        <v>Pathology: Forensic Pathology-207ZF0201X</v>
      </c>
    </row>
    <row r="500" spans="1:21" x14ac:dyDescent="0.3">
      <c r="A500" s="21" t="s">
        <v>779</v>
      </c>
      <c r="B500" s="21" t="str">
        <f>Table1[[#This Row],[Code]]&amp;" "&amp;Table1[[#This Row],[Portico_Specialty]]</f>
        <v>207ZH0000X Pathology: Hematology</v>
      </c>
      <c r="C500" s="21" t="str">
        <f>CLEAN(Table1[[#This Row],[Code]])</f>
        <v>207ZH0000X</v>
      </c>
      <c r="D500" s="1" t="s">
        <v>780</v>
      </c>
      <c r="E500" s="1"/>
      <c r="F500" s="1" t="s">
        <v>2587</v>
      </c>
      <c r="G500" s="4" t="s">
        <v>2593</v>
      </c>
      <c r="H500" s="1" t="s">
        <v>2815</v>
      </c>
      <c r="I500" s="1"/>
      <c r="J500" s="1" t="s">
        <v>2815</v>
      </c>
      <c r="K500" s="1" t="s">
        <v>2725</v>
      </c>
      <c r="L500" s="1" t="s">
        <v>2815</v>
      </c>
      <c r="M500" s="1" t="s">
        <v>2815</v>
      </c>
      <c r="N500" s="1" t="s">
        <v>2815</v>
      </c>
      <c r="O500" s="1" t="s">
        <v>2725</v>
      </c>
      <c r="P500" s="9"/>
      <c r="R500" s="16">
        <f ca="1">IF(ISNUMBER(SEARCH(INDIRECT(CELL("address")),S500)),MAX($R$1:R499)+1,0)</f>
        <v>499</v>
      </c>
      <c r="S500" s="18" t="str">
        <f>Table1[[#This Row],[Portico_Specialty]]&amp;"-"&amp;Table1[[#This Row],[Code]]</f>
        <v>Pathology: Hematology-207ZH0000X</v>
      </c>
      <c r="U500" s="16" t="str">
        <f ca="1">IFERROR(VLOOKUP(ROWS($U$1:U499),$R$2:$S$918,2,FALSE),"")</f>
        <v>Pathology: Hematology-207ZH0000X</v>
      </c>
    </row>
    <row r="501" spans="1:21" x14ac:dyDescent="0.3">
      <c r="A501" s="21" t="s">
        <v>781</v>
      </c>
      <c r="B501" s="21" t="str">
        <f>Table1[[#This Row],[Code]]&amp;" "&amp;Table1[[#This Row],[Portico_Specialty]]</f>
        <v>207ZI0100X Pathology: Immunopathology</v>
      </c>
      <c r="C501" s="21" t="str">
        <f>CLEAN(Table1[[#This Row],[Code]])</f>
        <v>207ZI0100X</v>
      </c>
      <c r="D501" s="1" t="s">
        <v>782</v>
      </c>
      <c r="E501" s="1"/>
      <c r="F501" s="1" t="s">
        <v>2587</v>
      </c>
      <c r="G501" s="4" t="s">
        <v>2593</v>
      </c>
      <c r="H501" s="1" t="s">
        <v>2815</v>
      </c>
      <c r="I501" s="1"/>
      <c r="J501" s="1" t="s">
        <v>2815</v>
      </c>
      <c r="K501" s="1" t="s">
        <v>2815</v>
      </c>
      <c r="L501" s="1" t="s">
        <v>2815</v>
      </c>
      <c r="M501" s="1" t="s">
        <v>2815</v>
      </c>
      <c r="N501" s="1" t="s">
        <v>2815</v>
      </c>
      <c r="O501" s="1" t="s">
        <v>2815</v>
      </c>
      <c r="P501" s="9"/>
      <c r="R501" s="16">
        <f ca="1">IF(ISNUMBER(SEARCH(INDIRECT(CELL("address")),S501)),MAX($R$1:R500)+1,0)</f>
        <v>500</v>
      </c>
      <c r="S501" s="18" t="str">
        <f>Table1[[#This Row],[Portico_Specialty]]&amp;"-"&amp;Table1[[#This Row],[Code]]</f>
        <v>Pathology: Immunopathology-207ZI0100X</v>
      </c>
      <c r="U501" s="16" t="str">
        <f ca="1">IFERROR(VLOOKUP(ROWS($U$1:U500),$R$2:$S$918,2,FALSE),"")</f>
        <v>Pathology: Immunopathology-207ZI0100X</v>
      </c>
    </row>
    <row r="502" spans="1:21" x14ac:dyDescent="0.3">
      <c r="A502" s="21" t="s">
        <v>783</v>
      </c>
      <c r="B502" s="21" t="str">
        <f>Table1[[#This Row],[Code]]&amp;" "&amp;Table1[[#This Row],[Portico_Specialty]]</f>
        <v>207ZM0300X Pathology: Medical Microbiology</v>
      </c>
      <c r="C502" s="21" t="str">
        <f>CLEAN(Table1[[#This Row],[Code]])</f>
        <v>207ZM0300X</v>
      </c>
      <c r="D502" s="1" t="s">
        <v>784</v>
      </c>
      <c r="E502" s="1"/>
      <c r="F502" s="1" t="s">
        <v>2587</v>
      </c>
      <c r="G502" s="4" t="s">
        <v>2593</v>
      </c>
      <c r="H502" s="1" t="s">
        <v>2815</v>
      </c>
      <c r="I502" s="1"/>
      <c r="J502" s="1" t="s">
        <v>2815</v>
      </c>
      <c r="K502" s="1" t="s">
        <v>2815</v>
      </c>
      <c r="L502" s="1" t="s">
        <v>2815</v>
      </c>
      <c r="M502" s="1" t="s">
        <v>2815</v>
      </c>
      <c r="N502" s="1" t="s">
        <v>2815</v>
      </c>
      <c r="O502" s="1" t="s">
        <v>2815</v>
      </c>
      <c r="P502" s="9"/>
      <c r="R502" s="16">
        <f ca="1">IF(ISNUMBER(SEARCH(INDIRECT(CELL("address")),S502)),MAX($R$1:R501)+1,0)</f>
        <v>501</v>
      </c>
      <c r="S502" s="18" t="str">
        <f>Table1[[#This Row],[Portico_Specialty]]&amp;"-"&amp;Table1[[#This Row],[Code]]</f>
        <v>Pathology: Medical Microbiology-207ZM0300X</v>
      </c>
      <c r="U502" s="16" t="str">
        <f ca="1">IFERROR(VLOOKUP(ROWS($U$1:U501),$R$2:$S$918,2,FALSE),"")</f>
        <v>Pathology: Medical Microbiology-207ZM0300X</v>
      </c>
    </row>
    <row r="503" spans="1:21" x14ac:dyDescent="0.3">
      <c r="A503" s="21" t="s">
        <v>787</v>
      </c>
      <c r="B503" s="21" t="str">
        <f>Table1[[#This Row],[Code]]&amp;" "&amp;Table1[[#This Row],[Portico_Specialty]]</f>
        <v>207ZP0007X Pathology: Molecular Genetic Pathology</v>
      </c>
      <c r="C503" s="21" t="str">
        <f>CLEAN(Table1[[#This Row],[Code]])</f>
        <v>207ZP0007X</v>
      </c>
      <c r="D503" s="1" t="s">
        <v>788</v>
      </c>
      <c r="E503" s="1"/>
      <c r="F503" s="1" t="s">
        <v>2587</v>
      </c>
      <c r="G503" s="4" t="s">
        <v>2593</v>
      </c>
      <c r="H503" s="1" t="s">
        <v>2815</v>
      </c>
      <c r="I503" s="1"/>
      <c r="J503" s="1" t="s">
        <v>2815</v>
      </c>
      <c r="K503" s="1" t="s">
        <v>2815</v>
      </c>
      <c r="L503" s="1" t="s">
        <v>2815</v>
      </c>
      <c r="M503" s="1" t="s">
        <v>2815</v>
      </c>
      <c r="N503" s="1" t="s">
        <v>2815</v>
      </c>
      <c r="O503" s="1" t="s">
        <v>2815</v>
      </c>
      <c r="P503" s="9"/>
      <c r="R503" s="16">
        <f ca="1">IF(ISNUMBER(SEARCH(INDIRECT(CELL("address")),S503)),MAX($R$1:R502)+1,0)</f>
        <v>502</v>
      </c>
      <c r="S503" s="18" t="str">
        <f>Table1[[#This Row],[Portico_Specialty]]&amp;"-"&amp;Table1[[#This Row],[Code]]</f>
        <v>Pathology: Molecular Genetic Pathology-207ZP0007X</v>
      </c>
      <c r="U503" s="16" t="str">
        <f ca="1">IFERROR(VLOOKUP(ROWS($U$1:U502),$R$2:$S$918,2,FALSE),"")</f>
        <v>Pathology: Molecular Genetic Pathology-207ZP0007X</v>
      </c>
    </row>
    <row r="504" spans="1:21" x14ac:dyDescent="0.3">
      <c r="A504" s="21" t="s">
        <v>785</v>
      </c>
      <c r="B504" s="21" t="str">
        <f>Table1[[#This Row],[Code]]&amp;" "&amp;Table1[[#This Row],[Portico_Specialty]]</f>
        <v>207ZN0500X Pathology: Neuropathology</v>
      </c>
      <c r="C504" s="21" t="str">
        <f>CLEAN(Table1[[#This Row],[Code]])</f>
        <v>207ZN0500X</v>
      </c>
      <c r="D504" s="1" t="s">
        <v>786</v>
      </c>
      <c r="E504" s="1"/>
      <c r="F504" s="1" t="s">
        <v>2587</v>
      </c>
      <c r="G504" s="4" t="s">
        <v>2593</v>
      </c>
      <c r="H504" s="1" t="s">
        <v>2815</v>
      </c>
      <c r="I504" s="1"/>
      <c r="J504" s="1" t="s">
        <v>2815</v>
      </c>
      <c r="K504" s="1" t="s">
        <v>2815</v>
      </c>
      <c r="L504" s="1" t="s">
        <v>2815</v>
      </c>
      <c r="M504" s="1" t="s">
        <v>2815</v>
      </c>
      <c r="N504" s="1" t="s">
        <v>2815</v>
      </c>
      <c r="O504" s="1" t="s">
        <v>2815</v>
      </c>
      <c r="P504" s="9"/>
      <c r="R504" s="16">
        <f ca="1">IF(ISNUMBER(SEARCH(INDIRECT(CELL("address")),S504)),MAX($R$1:R503)+1,0)</f>
        <v>503</v>
      </c>
      <c r="S504" s="18" t="str">
        <f>Table1[[#This Row],[Portico_Specialty]]&amp;"-"&amp;Table1[[#This Row],[Code]]</f>
        <v>Pathology: Neuropathology-207ZN0500X</v>
      </c>
      <c r="U504" s="16" t="str">
        <f ca="1">IFERROR(VLOOKUP(ROWS($U$1:U503),$R$2:$S$918,2,FALSE),"")</f>
        <v>Pathology: Neuropathology-207ZN0500X</v>
      </c>
    </row>
    <row r="505" spans="1:21" x14ac:dyDescent="0.3">
      <c r="A505" s="21" t="s">
        <v>797</v>
      </c>
      <c r="B505" s="21" t="str">
        <f>Table1[[#This Row],[Code]]&amp;" "&amp;Table1[[#This Row],[Portico_Specialty]]</f>
        <v>207ZP0213X Pathology: Pediatric Pathology</v>
      </c>
      <c r="C505" s="21" t="str">
        <f>CLEAN(Table1[[#This Row],[Code]])</f>
        <v>207ZP0213X</v>
      </c>
      <c r="D505" s="1" t="s">
        <v>798</v>
      </c>
      <c r="E505" s="1"/>
      <c r="F505" s="1" t="s">
        <v>2587</v>
      </c>
      <c r="G505" s="4" t="s">
        <v>2593</v>
      </c>
      <c r="H505" s="1" t="s">
        <v>2815</v>
      </c>
      <c r="I505" s="1"/>
      <c r="J505" s="1" t="s">
        <v>2815</v>
      </c>
      <c r="K505" s="1" t="s">
        <v>2815</v>
      </c>
      <c r="L505" s="1" t="s">
        <v>2815</v>
      </c>
      <c r="M505" s="1" t="s">
        <v>2815</v>
      </c>
      <c r="N505" s="1" t="s">
        <v>2815</v>
      </c>
      <c r="O505" s="1" t="s">
        <v>2815</v>
      </c>
      <c r="P505" s="9"/>
      <c r="R505" s="16">
        <f ca="1">IF(ISNUMBER(SEARCH(INDIRECT(CELL("address")),S505)),MAX($R$1:R504)+1,0)</f>
        <v>504</v>
      </c>
      <c r="S505" s="18" t="str">
        <f>Table1[[#This Row],[Portico_Specialty]]&amp;"-"&amp;Table1[[#This Row],[Code]]</f>
        <v>Pathology: Pediatric Pathology-207ZP0213X</v>
      </c>
      <c r="U505" s="16" t="str">
        <f ca="1">IFERROR(VLOOKUP(ROWS($U$1:U504),$R$2:$S$918,2,FALSE),"")</f>
        <v>Pathology: Pediatric Pathology-207ZP0213X</v>
      </c>
    </row>
    <row r="506" spans="1:21" x14ac:dyDescent="0.3">
      <c r="A506" s="21" t="s">
        <v>799</v>
      </c>
      <c r="B506" s="21" t="str">
        <f>Table1[[#This Row],[Code]]&amp;" "&amp;Table1[[#This Row],[Portico_Specialty]]</f>
        <v>208000000X Pediatrics</v>
      </c>
      <c r="C506" s="21" t="str">
        <f>CLEAN(Table1[[#This Row],[Code]])</f>
        <v>208000000X</v>
      </c>
      <c r="D506" s="1" t="s">
        <v>800</v>
      </c>
      <c r="E506" s="1"/>
      <c r="F506" s="1" t="s">
        <v>2587</v>
      </c>
      <c r="G506" s="4" t="s">
        <v>2593</v>
      </c>
      <c r="H506" s="1" t="s">
        <v>2707</v>
      </c>
      <c r="I506" s="1"/>
      <c r="J506" s="1" t="s">
        <v>2707</v>
      </c>
      <c r="K506" s="1" t="s">
        <v>2707</v>
      </c>
      <c r="L506" s="1" t="s">
        <v>2707</v>
      </c>
      <c r="M506" s="1" t="s">
        <v>2707</v>
      </c>
      <c r="N506" s="1" t="s">
        <v>2707</v>
      </c>
      <c r="O506" s="1" t="s">
        <v>2707</v>
      </c>
      <c r="P506" s="9"/>
      <c r="R506" s="16">
        <f ca="1">IF(ISNUMBER(SEARCH(INDIRECT(CELL("address")),S506)),MAX($R$1:R505)+1,0)</f>
        <v>505</v>
      </c>
      <c r="S506" s="18" t="str">
        <f>Table1[[#This Row],[Portico_Specialty]]&amp;"-"&amp;Table1[[#This Row],[Code]]</f>
        <v>Pediatrics-208000000X</v>
      </c>
      <c r="U506" s="16" t="str">
        <f ca="1">IFERROR(VLOOKUP(ROWS($U$1:U505),$R$2:$S$918,2,FALSE),"")</f>
        <v>Pediatrics-208000000X</v>
      </c>
    </row>
    <row r="507" spans="1:21" x14ac:dyDescent="0.3">
      <c r="A507" s="21" t="s">
        <v>801</v>
      </c>
      <c r="B507" s="21" t="str">
        <f>Table1[[#This Row],[Code]]&amp;" "&amp;Table1[[#This Row],[Portico_Specialty]]</f>
        <v>2080A0000X Pediatrics: Adolescent Medicine</v>
      </c>
      <c r="C507" s="21" t="str">
        <f>CLEAN(Table1[[#This Row],[Code]])</f>
        <v>2080A0000X</v>
      </c>
      <c r="D507" s="1" t="s">
        <v>802</v>
      </c>
      <c r="E507" s="1"/>
      <c r="F507" s="1" t="s">
        <v>2587</v>
      </c>
      <c r="G507" s="4" t="s">
        <v>2593</v>
      </c>
      <c r="H507" s="1" t="s">
        <v>2707</v>
      </c>
      <c r="I507" s="1"/>
      <c r="J507" s="1" t="s">
        <v>2707</v>
      </c>
      <c r="K507" s="1" t="s">
        <v>2707</v>
      </c>
      <c r="L507" s="1" t="s">
        <v>2707</v>
      </c>
      <c r="M507" s="1" t="s">
        <v>2707</v>
      </c>
      <c r="N507" s="1" t="s">
        <v>2707</v>
      </c>
      <c r="O507" s="1" t="s">
        <v>2707</v>
      </c>
      <c r="P507" s="9"/>
      <c r="R507" s="16">
        <f ca="1">IF(ISNUMBER(SEARCH(INDIRECT(CELL("address")),S507)),MAX($R$1:R506)+1,0)</f>
        <v>506</v>
      </c>
      <c r="S507" s="18" t="str">
        <f>Table1[[#This Row],[Portico_Specialty]]&amp;"-"&amp;Table1[[#This Row],[Code]]</f>
        <v>Pediatrics: Adolescent Medicine-2080A0000X</v>
      </c>
      <c r="U507" s="16" t="str">
        <f ca="1">IFERROR(VLOOKUP(ROWS($U$1:U506),$R$2:$S$918,2,FALSE),"")</f>
        <v>Pediatrics: Adolescent Medicine-2080A0000X</v>
      </c>
    </row>
    <row r="508" spans="1:21" x14ac:dyDescent="0.3">
      <c r="A508" s="21" t="s">
        <v>805</v>
      </c>
      <c r="B508" s="21" t="str">
        <f>Table1[[#This Row],[Code]]&amp;" "&amp;Table1[[#This Row],[Portico_Specialty]]</f>
        <v>2080C0008X Pediatrics: Child Abuse Pediatrics</v>
      </c>
      <c r="C508" s="21" t="str">
        <f>CLEAN(Table1[[#This Row],[Code]])</f>
        <v>2080C0008X</v>
      </c>
      <c r="D508" s="1" t="s">
        <v>806</v>
      </c>
      <c r="E508" s="1"/>
      <c r="F508" s="1" t="s">
        <v>2587</v>
      </c>
      <c r="G508" s="3" t="s">
        <v>2588</v>
      </c>
      <c r="H508" s="1" t="s">
        <v>2707</v>
      </c>
      <c r="I508" s="1"/>
      <c r="J508" s="1" t="s">
        <v>2707</v>
      </c>
      <c r="K508" s="1" t="s">
        <v>2707</v>
      </c>
      <c r="L508" s="1" t="s">
        <v>2707</v>
      </c>
      <c r="M508" s="1" t="s">
        <v>2707</v>
      </c>
      <c r="N508" s="1" t="s">
        <v>2707</v>
      </c>
      <c r="O508" s="1" t="s">
        <v>2707</v>
      </c>
      <c r="P508" s="9"/>
      <c r="R508" s="16">
        <f ca="1">IF(ISNUMBER(SEARCH(INDIRECT(CELL("address")),S508)),MAX($R$1:R507)+1,0)</f>
        <v>507</v>
      </c>
      <c r="S508" s="18" t="str">
        <f>Table1[[#This Row],[Portico_Specialty]]&amp;"-"&amp;Table1[[#This Row],[Code]]</f>
        <v>Pediatrics: Child Abuse Pediatrics-2080C0008X</v>
      </c>
      <c r="U508" s="16" t="str">
        <f ca="1">IFERROR(VLOOKUP(ROWS($U$1:U507),$R$2:$S$918,2,FALSE),"")</f>
        <v>Pediatrics: Child Abuse Pediatrics-2080C0008X</v>
      </c>
    </row>
    <row r="509" spans="1:21" x14ac:dyDescent="0.3">
      <c r="A509" s="21" t="s">
        <v>809</v>
      </c>
      <c r="B509" s="21" t="str">
        <f>Table1[[#This Row],[Code]]&amp;" "&amp;Table1[[#This Row],[Portico_Specialty]]</f>
        <v>2080I0007X Pediatrics: Clinical &amp; Laboratory Immunology</v>
      </c>
      <c r="C509" s="21" t="str">
        <f>CLEAN(Table1[[#This Row],[Code]])</f>
        <v>2080I0007X</v>
      </c>
      <c r="D509" s="1" t="s">
        <v>810</v>
      </c>
      <c r="E509" s="1"/>
      <c r="F509" s="1" t="s">
        <v>2587</v>
      </c>
      <c r="G509" s="4" t="s">
        <v>2593</v>
      </c>
      <c r="H509" s="1" t="s">
        <v>2597</v>
      </c>
      <c r="I509" s="1"/>
      <c r="J509" s="1" t="s">
        <v>2597</v>
      </c>
      <c r="K509" s="1" t="s">
        <v>2707</v>
      </c>
      <c r="L509" s="1" t="s">
        <v>2597</v>
      </c>
      <c r="M509" s="1" t="s">
        <v>2597</v>
      </c>
      <c r="N509" s="1" t="s">
        <v>2597</v>
      </c>
      <c r="O509" s="1" t="s">
        <v>2707</v>
      </c>
      <c r="P509" s="9"/>
      <c r="R509" s="16">
        <f ca="1">IF(ISNUMBER(SEARCH(INDIRECT(CELL("address")),S509)),MAX($R$1:R508)+1,0)</f>
        <v>508</v>
      </c>
      <c r="S509" s="18" t="str">
        <f>Table1[[#This Row],[Portico_Specialty]]&amp;"-"&amp;Table1[[#This Row],[Code]]</f>
        <v>Pediatrics: Clinical &amp; Laboratory Immunology-2080I0007X</v>
      </c>
      <c r="U509" s="16" t="str">
        <f ca="1">IFERROR(VLOOKUP(ROWS($U$1:U508),$R$2:$S$918,2,FALSE),"")</f>
        <v>Pediatrics: Clinical &amp; Laboratory Immunology-2080I0007X</v>
      </c>
    </row>
    <row r="510" spans="1:21" ht="30.75" x14ac:dyDescent="0.3">
      <c r="A510" s="21" t="s">
        <v>813</v>
      </c>
      <c r="B510" s="21" t="str">
        <f>Table1[[#This Row],[Code]]&amp;" "&amp;Table1[[#This Row],[Portico_Specialty]]</f>
        <v>2080P0006X Pediatrics: Developmental - Behavioral Pediatrics</v>
      </c>
      <c r="C510" s="21" t="str">
        <f>CLEAN(Table1[[#This Row],[Code]])</f>
        <v>2080P0006X</v>
      </c>
      <c r="D510" s="1" t="s">
        <v>814</v>
      </c>
      <c r="E510" s="1"/>
      <c r="F510" s="1" t="s">
        <v>2587</v>
      </c>
      <c r="G510" s="4" t="s">
        <v>2593</v>
      </c>
      <c r="H510" s="1" t="s">
        <v>2707</v>
      </c>
      <c r="I510" s="1"/>
      <c r="J510" s="1" t="s">
        <v>2707</v>
      </c>
      <c r="K510" s="1" t="s">
        <v>2614</v>
      </c>
      <c r="L510" s="1" t="s">
        <v>2707</v>
      </c>
      <c r="M510" s="1" t="s">
        <v>2707</v>
      </c>
      <c r="N510" s="1" t="s">
        <v>2707</v>
      </c>
      <c r="O510" s="1" t="s">
        <v>2614</v>
      </c>
      <c r="P510" s="9"/>
      <c r="R510" s="16">
        <f ca="1">IF(ISNUMBER(SEARCH(INDIRECT(CELL("address")),S510)),MAX($R$1:R509)+1,0)</f>
        <v>509</v>
      </c>
      <c r="S510" s="18" t="str">
        <f>Table1[[#This Row],[Portico_Specialty]]&amp;"-"&amp;Table1[[#This Row],[Code]]</f>
        <v>Pediatrics: Developmental - Behavioral Pediatrics-2080P0006X</v>
      </c>
      <c r="U510" s="16" t="str">
        <f ca="1">IFERROR(VLOOKUP(ROWS($U$1:U509),$R$2:$S$918,2,FALSE),"")</f>
        <v>Pediatrics: Developmental - Behavioral Pediatrics-2080P0006X</v>
      </c>
    </row>
    <row r="511" spans="1:21" x14ac:dyDescent="0.3">
      <c r="A511" s="21" t="s">
        <v>807</v>
      </c>
      <c r="B511" s="21" t="str">
        <f>Table1[[#This Row],[Code]]&amp;" "&amp;Table1[[#This Row],[Portico_Specialty]]</f>
        <v>2080H0002X Pediatrics: Hospice and Palliative Medicine</v>
      </c>
      <c r="C511" s="21" t="str">
        <f>CLEAN(Table1[[#This Row],[Code]])</f>
        <v>2080H0002X</v>
      </c>
      <c r="D511" s="1" t="s">
        <v>808</v>
      </c>
      <c r="E511" s="1"/>
      <c r="F511" s="1" t="s">
        <v>2587</v>
      </c>
      <c r="G511" s="4" t="s">
        <v>2593</v>
      </c>
      <c r="H511" s="1" t="s">
        <v>2707</v>
      </c>
      <c r="I511" s="1"/>
      <c r="J511" s="1" t="s">
        <v>2816</v>
      </c>
      <c r="K511" s="1" t="s">
        <v>2707</v>
      </c>
      <c r="L511" s="1" t="s">
        <v>2707</v>
      </c>
      <c r="M511" s="1" t="s">
        <v>2816</v>
      </c>
      <c r="N511" s="1" t="s">
        <v>2707</v>
      </c>
      <c r="O511" s="1" t="s">
        <v>2707</v>
      </c>
      <c r="P511" s="9"/>
      <c r="R511" s="16">
        <f ca="1">IF(ISNUMBER(SEARCH(INDIRECT(CELL("address")),S511)),MAX($R$1:R510)+1,0)</f>
        <v>510</v>
      </c>
      <c r="S511" s="18" t="str">
        <f>Table1[[#This Row],[Portico_Specialty]]&amp;"-"&amp;Table1[[#This Row],[Code]]</f>
        <v>Pediatrics: Hospice and Palliative Medicine-2080H0002X</v>
      </c>
      <c r="U511" s="16" t="str">
        <f ca="1">IFERROR(VLOOKUP(ROWS($U$1:U510),$R$2:$S$918,2,FALSE),"")</f>
        <v>Pediatrics: Hospice and Palliative Medicine-2080H0002X</v>
      </c>
    </row>
    <row r="512" spans="1:21" x14ac:dyDescent="0.3">
      <c r="A512" s="21" t="s">
        <v>843</v>
      </c>
      <c r="B512" s="21" t="str">
        <f>Table1[[#This Row],[Code]]&amp;" "&amp;Table1[[#This Row],[Portico_Specialty]]</f>
        <v>2080T0002X Pediatrics: Medical Toxicology</v>
      </c>
      <c r="C512" s="21" t="str">
        <f>CLEAN(Table1[[#This Row],[Code]])</f>
        <v>2080T0002X</v>
      </c>
      <c r="D512" s="1" t="s">
        <v>844</v>
      </c>
      <c r="E512" s="1"/>
      <c r="F512" s="1" t="s">
        <v>2587</v>
      </c>
      <c r="G512" s="4" t="s">
        <v>2593</v>
      </c>
      <c r="H512" s="1" t="s">
        <v>2707</v>
      </c>
      <c r="I512" s="1"/>
      <c r="J512" s="1" t="s">
        <v>2707</v>
      </c>
      <c r="K512" s="1" t="s">
        <v>2707</v>
      </c>
      <c r="L512" s="1" t="s">
        <v>2707</v>
      </c>
      <c r="M512" s="1" t="s">
        <v>2707</v>
      </c>
      <c r="N512" s="1" t="s">
        <v>2707</v>
      </c>
      <c r="O512" s="1" t="s">
        <v>2707</v>
      </c>
      <c r="P512" s="9"/>
      <c r="R512" s="16">
        <f ca="1">IF(ISNUMBER(SEARCH(INDIRECT(CELL("address")),S512)),MAX($R$1:R511)+1,0)</f>
        <v>511</v>
      </c>
      <c r="S512" s="18" t="str">
        <f>Table1[[#This Row],[Portico_Specialty]]&amp;"-"&amp;Table1[[#This Row],[Code]]</f>
        <v>Pediatrics: Medical Toxicology-2080T0002X</v>
      </c>
      <c r="U512" s="16" t="str">
        <f ca="1">IFERROR(VLOOKUP(ROWS($U$1:U511),$R$2:$S$918,2,FALSE),"")</f>
        <v>Pediatrics: Medical Toxicology-2080T0002X</v>
      </c>
    </row>
    <row r="513" spans="1:21" x14ac:dyDescent="0.3">
      <c r="A513" s="21" t="s">
        <v>811</v>
      </c>
      <c r="B513" s="21" t="str">
        <f>Table1[[#This Row],[Code]]&amp;" "&amp;Table1[[#This Row],[Portico_Specialty]]</f>
        <v>2080N0001X Pediatrics: Neonatal-Perinatal Medicine</v>
      </c>
      <c r="C513" s="21" t="str">
        <f>CLEAN(Table1[[#This Row],[Code]])</f>
        <v>2080N0001X</v>
      </c>
      <c r="D513" s="1" t="s">
        <v>812</v>
      </c>
      <c r="E513" s="1"/>
      <c r="F513" s="1" t="s">
        <v>2587</v>
      </c>
      <c r="G513" s="4" t="s">
        <v>2593</v>
      </c>
      <c r="H513" s="1" t="s">
        <v>2817</v>
      </c>
      <c r="I513" s="1"/>
      <c r="J513" s="1" t="s">
        <v>2800</v>
      </c>
      <c r="K513" s="1" t="s">
        <v>2817</v>
      </c>
      <c r="L513" s="1" t="s">
        <v>2817</v>
      </c>
      <c r="M513" s="1" t="s">
        <v>2817</v>
      </c>
      <c r="N513" s="1" t="s">
        <v>2710</v>
      </c>
      <c r="O513" s="1" t="s">
        <v>2817</v>
      </c>
      <c r="P513" s="9"/>
      <c r="R513" s="16">
        <f ca="1">IF(ISNUMBER(SEARCH(INDIRECT(CELL("address")),S513)),MAX($R$1:R512)+1,0)</f>
        <v>512</v>
      </c>
      <c r="S513" s="18" t="str">
        <f>Table1[[#This Row],[Portico_Specialty]]&amp;"-"&amp;Table1[[#This Row],[Code]]</f>
        <v>Pediatrics: Neonatal-Perinatal Medicine-2080N0001X</v>
      </c>
      <c r="U513" s="16" t="str">
        <f ca="1">IFERROR(VLOOKUP(ROWS($U$1:U512),$R$2:$S$918,2,FALSE),"")</f>
        <v>Pediatrics: Neonatal-Perinatal Medicine-2080N0001X</v>
      </c>
    </row>
    <row r="514" spans="1:21" ht="30.75" x14ac:dyDescent="0.3">
      <c r="A514" s="21" t="s">
        <v>815</v>
      </c>
      <c r="B514" s="21" t="str">
        <f>Table1[[#This Row],[Code]]&amp;" "&amp;Table1[[#This Row],[Portico_Specialty]]</f>
        <v>2080P0008X Pediatrics: Neurodevelopmental Disabilities</v>
      </c>
      <c r="C514" s="21" t="str">
        <f>CLEAN(Table1[[#This Row],[Code]])</f>
        <v>2080P0008X</v>
      </c>
      <c r="D514" s="1" t="s">
        <v>816</v>
      </c>
      <c r="E514" s="1"/>
      <c r="F514" s="1" t="s">
        <v>2587</v>
      </c>
      <c r="G514" s="4" t="s">
        <v>2593</v>
      </c>
      <c r="H514" s="1" t="s">
        <v>2707</v>
      </c>
      <c r="I514" s="1"/>
      <c r="J514" s="1" t="s">
        <v>2707</v>
      </c>
      <c r="K514" s="1" t="s">
        <v>2707</v>
      </c>
      <c r="L514" s="1" t="s">
        <v>2707</v>
      </c>
      <c r="M514" s="1" t="s">
        <v>2707</v>
      </c>
      <c r="N514" s="1" t="s">
        <v>2707</v>
      </c>
      <c r="O514" s="1" t="s">
        <v>2707</v>
      </c>
      <c r="P514" s="9"/>
      <c r="R514" s="16">
        <f ca="1">IF(ISNUMBER(SEARCH(INDIRECT(CELL("address")),S514)),MAX($R$1:R513)+1,0)</f>
        <v>513</v>
      </c>
      <c r="S514" s="18" t="str">
        <f>Table1[[#This Row],[Portico_Specialty]]&amp;"-"&amp;Table1[[#This Row],[Code]]</f>
        <v>Pediatrics: Neurodevelopmental Disabilities-2080P0008X</v>
      </c>
      <c r="U514" s="16" t="str">
        <f ca="1">IFERROR(VLOOKUP(ROWS($U$1:U513),$R$2:$S$918,2,FALSE),"")</f>
        <v>Pediatrics: Neurodevelopmental Disabilities-2080P0008X</v>
      </c>
    </row>
    <row r="515" spans="1:21" x14ac:dyDescent="0.3">
      <c r="A515" s="21" t="s">
        <v>803</v>
      </c>
      <c r="B515" s="21" t="str">
        <f>Table1[[#This Row],[Code]]&amp;" "&amp;Table1[[#This Row],[Portico_Specialty]]</f>
        <v>2080B0002X Pediatrics: Obesity Medicine</v>
      </c>
      <c r="C515" s="21" t="str">
        <f>CLEAN(Table1[[#This Row],[Code]])</f>
        <v>2080B0002X</v>
      </c>
      <c r="D515" s="1" t="s">
        <v>804</v>
      </c>
      <c r="E515" s="1"/>
      <c r="F515" s="1" t="s">
        <v>2587</v>
      </c>
      <c r="G515" s="3" t="s">
        <v>2588</v>
      </c>
      <c r="H515" s="1"/>
      <c r="I515" s="1"/>
      <c r="J515" s="1" t="s">
        <v>2707</v>
      </c>
      <c r="K515" s="1" t="s">
        <v>2707</v>
      </c>
      <c r="L515" s="1"/>
      <c r="M515" s="1"/>
      <c r="N515" s="1"/>
      <c r="O515" s="1" t="s">
        <v>2707</v>
      </c>
      <c r="P515" s="9"/>
      <c r="R515" s="16">
        <f ca="1">IF(ISNUMBER(SEARCH(INDIRECT(CELL("address")),S515)),MAX($R$1:R514)+1,0)</f>
        <v>514</v>
      </c>
      <c r="S515" s="18" t="str">
        <f>Table1[[#This Row],[Portico_Specialty]]&amp;"-"&amp;Table1[[#This Row],[Code]]</f>
        <v>Pediatrics: Obesity Medicine-2080B0002X</v>
      </c>
      <c r="U515" s="16" t="str">
        <f ca="1">IFERROR(VLOOKUP(ROWS($U$1:U514),$R$2:$S$918,2,FALSE),"")</f>
        <v>Pediatrics: Obesity Medicine-2080B0002X</v>
      </c>
    </row>
    <row r="516" spans="1:21" x14ac:dyDescent="0.3">
      <c r="A516" s="21" t="s">
        <v>817</v>
      </c>
      <c r="B516" s="21" t="str">
        <f>Table1[[#This Row],[Code]]&amp;" "&amp;Table1[[#This Row],[Portico_Specialty]]</f>
        <v>2080P0201X Pediatrics: Pediatric Allergy &amp; Immunology</v>
      </c>
      <c r="C516" s="21" t="str">
        <f>CLEAN(Table1[[#This Row],[Code]])</f>
        <v>2080P0201X</v>
      </c>
      <c r="D516" s="1" t="s">
        <v>818</v>
      </c>
      <c r="E516" s="1"/>
      <c r="F516" s="1" t="s">
        <v>2587</v>
      </c>
      <c r="G516" s="4" t="s">
        <v>2593</v>
      </c>
      <c r="H516" s="1" t="s">
        <v>2707</v>
      </c>
      <c r="I516" s="1"/>
      <c r="J516" s="1" t="s">
        <v>2597</v>
      </c>
      <c r="K516" s="1" t="s">
        <v>2597</v>
      </c>
      <c r="L516" s="1" t="s">
        <v>2597</v>
      </c>
      <c r="M516" s="1" t="s">
        <v>2597</v>
      </c>
      <c r="N516" s="1" t="s">
        <v>2597</v>
      </c>
      <c r="O516" s="1" t="s">
        <v>2597</v>
      </c>
      <c r="P516" s="9"/>
      <c r="R516" s="16">
        <f ca="1">IF(ISNUMBER(SEARCH(INDIRECT(CELL("address")),S516)),MAX($R$1:R515)+1,0)</f>
        <v>515</v>
      </c>
      <c r="S516" s="18" t="str">
        <f>Table1[[#This Row],[Portico_Specialty]]&amp;"-"&amp;Table1[[#This Row],[Code]]</f>
        <v>Pediatrics: Pediatric Allergy &amp; Immunology-2080P0201X</v>
      </c>
      <c r="U516" s="16" t="str">
        <f ca="1">IFERROR(VLOOKUP(ROWS($U$1:U515),$R$2:$S$918,2,FALSE),"")</f>
        <v>Pediatrics: Pediatric Allergy &amp; Immunology-2080P0201X</v>
      </c>
    </row>
    <row r="517" spans="1:21" x14ac:dyDescent="0.3">
      <c r="A517" s="21" t="s">
        <v>819</v>
      </c>
      <c r="B517" s="21" t="str">
        <f>Table1[[#This Row],[Code]]&amp;" "&amp;Table1[[#This Row],[Portico_Specialty]]</f>
        <v>2080P0202X Pediatrics: Pediatric Cardiology</v>
      </c>
      <c r="C517" s="21" t="str">
        <f>CLEAN(Table1[[#This Row],[Code]])</f>
        <v>2080P0202X</v>
      </c>
      <c r="D517" s="1" t="s">
        <v>820</v>
      </c>
      <c r="E517" s="1"/>
      <c r="F517" s="1" t="s">
        <v>2587</v>
      </c>
      <c r="G517" s="4" t="s">
        <v>2593</v>
      </c>
      <c r="H517" s="1" t="s">
        <v>2707</v>
      </c>
      <c r="I517" s="1"/>
      <c r="J517" s="1" t="s">
        <v>2720</v>
      </c>
      <c r="K517" s="1" t="s">
        <v>2720</v>
      </c>
      <c r="L517" s="1" t="s">
        <v>2720</v>
      </c>
      <c r="M517" s="1" t="s">
        <v>2720</v>
      </c>
      <c r="N517" s="1" t="s">
        <v>2720</v>
      </c>
      <c r="O517" s="1" t="s">
        <v>2720</v>
      </c>
      <c r="P517" s="9"/>
      <c r="R517" s="16">
        <f ca="1">IF(ISNUMBER(SEARCH(INDIRECT(CELL("address")),S517)),MAX($R$1:R516)+1,0)</f>
        <v>516</v>
      </c>
      <c r="S517" s="18" t="str">
        <f>Table1[[#This Row],[Portico_Specialty]]&amp;"-"&amp;Table1[[#This Row],[Code]]</f>
        <v>Pediatrics: Pediatric Cardiology-2080P0202X</v>
      </c>
      <c r="U517" s="16" t="str">
        <f ca="1">IFERROR(VLOOKUP(ROWS($U$1:U516),$R$2:$S$918,2,FALSE),"")</f>
        <v>Pediatrics: Pediatric Cardiology-2080P0202X</v>
      </c>
    </row>
    <row r="518" spans="1:21" x14ac:dyDescent="0.3">
      <c r="A518" s="21" t="s">
        <v>821</v>
      </c>
      <c r="B518" s="21" t="str">
        <f>Table1[[#This Row],[Code]]&amp;" "&amp;Table1[[#This Row],[Portico_Specialty]]</f>
        <v>2080P0203X Pediatrics: Pediatric Critical Care Medicine</v>
      </c>
      <c r="C518" s="21" t="str">
        <f>CLEAN(Table1[[#This Row],[Code]])</f>
        <v>2080P0203X</v>
      </c>
      <c r="D518" s="1" t="s">
        <v>822</v>
      </c>
      <c r="E518" s="1"/>
      <c r="F518" s="1" t="s">
        <v>2587</v>
      </c>
      <c r="G518" s="4" t="s">
        <v>2593</v>
      </c>
      <c r="H518" s="1" t="s">
        <v>2707</v>
      </c>
      <c r="I518" s="1"/>
      <c r="J518" s="1" t="s">
        <v>2719</v>
      </c>
      <c r="K518" s="1" t="s">
        <v>2719</v>
      </c>
      <c r="L518" s="1" t="s">
        <v>2719</v>
      </c>
      <c r="M518" s="1" t="s">
        <v>2719</v>
      </c>
      <c r="N518" s="1" t="s">
        <v>2719</v>
      </c>
      <c r="O518" s="1" t="s">
        <v>2719</v>
      </c>
      <c r="P518" s="9"/>
      <c r="R518" s="16">
        <f ca="1">IF(ISNUMBER(SEARCH(INDIRECT(CELL("address")),S518)),MAX($R$1:R517)+1,0)</f>
        <v>517</v>
      </c>
      <c r="S518" s="18" t="str">
        <f>Table1[[#This Row],[Portico_Specialty]]&amp;"-"&amp;Table1[[#This Row],[Code]]</f>
        <v>Pediatrics: Pediatric Critical Care Medicine-2080P0203X</v>
      </c>
      <c r="U518" s="16" t="str">
        <f ca="1">IFERROR(VLOOKUP(ROWS($U$1:U517),$R$2:$S$918,2,FALSE),"")</f>
        <v>Pediatrics: Pediatric Critical Care Medicine-2080P0203X</v>
      </c>
    </row>
    <row r="519" spans="1:21" x14ac:dyDescent="0.3">
      <c r="A519" s="21" t="s">
        <v>823</v>
      </c>
      <c r="B519" s="21" t="str">
        <f>Table1[[#This Row],[Code]]&amp;" "&amp;Table1[[#This Row],[Portico_Specialty]]</f>
        <v>2080P0204X Pediatrics: Pediatric Emergency Medicine</v>
      </c>
      <c r="C519" s="21" t="str">
        <f>CLEAN(Table1[[#This Row],[Code]])</f>
        <v>2080P0204X</v>
      </c>
      <c r="D519" s="1" t="s">
        <v>824</v>
      </c>
      <c r="E519" s="1"/>
      <c r="F519" s="1" t="s">
        <v>2587</v>
      </c>
      <c r="G519" s="4" t="s">
        <v>2593</v>
      </c>
      <c r="H519" s="1" t="s">
        <v>2702</v>
      </c>
      <c r="I519" s="1"/>
      <c r="J519" s="1" t="s">
        <v>2702</v>
      </c>
      <c r="K519" s="1" t="s">
        <v>2702</v>
      </c>
      <c r="L519" s="1" t="s">
        <v>2702</v>
      </c>
      <c r="M519" s="1" t="s">
        <v>2702</v>
      </c>
      <c r="N519" s="1" t="s">
        <v>2702</v>
      </c>
      <c r="O519" s="1" t="s">
        <v>2702</v>
      </c>
      <c r="P519" s="9"/>
      <c r="R519" s="16">
        <f ca="1">IF(ISNUMBER(SEARCH(INDIRECT(CELL("address")),S519)),MAX($R$1:R518)+1,0)</f>
        <v>518</v>
      </c>
      <c r="S519" s="18" t="str">
        <f>Table1[[#This Row],[Portico_Specialty]]&amp;"-"&amp;Table1[[#This Row],[Code]]</f>
        <v>Pediatrics: Pediatric Emergency Medicine-2080P0204X</v>
      </c>
      <c r="U519" s="16" t="str">
        <f ca="1">IFERROR(VLOOKUP(ROWS($U$1:U518),$R$2:$S$918,2,FALSE),"")</f>
        <v>Pediatrics: Pediatric Emergency Medicine-2080P0204X</v>
      </c>
    </row>
    <row r="520" spans="1:21" x14ac:dyDescent="0.3">
      <c r="A520" s="21" t="s">
        <v>825</v>
      </c>
      <c r="B520" s="21" t="str">
        <f>Table1[[#This Row],[Code]]&amp;" "&amp;Table1[[#This Row],[Portico_Specialty]]</f>
        <v>2080P0205X Pediatrics: Pediatric Endocrinology</v>
      </c>
      <c r="C520" s="21" t="str">
        <f>CLEAN(Table1[[#This Row],[Code]])</f>
        <v>2080P0205X</v>
      </c>
      <c r="D520" s="1" t="s">
        <v>826</v>
      </c>
      <c r="E520" s="1"/>
      <c r="F520" s="1" t="s">
        <v>2587</v>
      </c>
      <c r="G520" s="4" t="s">
        <v>2593</v>
      </c>
      <c r="H520" s="1" t="s">
        <v>2707</v>
      </c>
      <c r="I520" s="1"/>
      <c r="J520" s="1" t="s">
        <v>2723</v>
      </c>
      <c r="K520" s="1" t="s">
        <v>2723</v>
      </c>
      <c r="L520" s="1" t="s">
        <v>2723</v>
      </c>
      <c r="M520" s="1" t="s">
        <v>2723</v>
      </c>
      <c r="N520" s="1" t="s">
        <v>2723</v>
      </c>
      <c r="O520" s="1" t="s">
        <v>2723</v>
      </c>
      <c r="P520" s="9"/>
      <c r="R520" s="16">
        <f ca="1">IF(ISNUMBER(SEARCH(INDIRECT(CELL("address")),S520)),MAX($R$1:R519)+1,0)</f>
        <v>519</v>
      </c>
      <c r="S520" s="18" t="str">
        <f>Table1[[#This Row],[Portico_Specialty]]&amp;"-"&amp;Table1[[#This Row],[Code]]</f>
        <v>Pediatrics: Pediatric Endocrinology-2080P0205X</v>
      </c>
      <c r="U520" s="16" t="str">
        <f ca="1">IFERROR(VLOOKUP(ROWS($U$1:U519),$R$2:$S$918,2,FALSE),"")</f>
        <v>Pediatrics: Pediatric Endocrinology-2080P0205X</v>
      </c>
    </row>
    <row r="521" spans="1:21" x14ac:dyDescent="0.3">
      <c r="A521" s="21" t="s">
        <v>827</v>
      </c>
      <c r="B521" s="21" t="str">
        <f>Table1[[#This Row],[Code]]&amp;" "&amp;Table1[[#This Row],[Portico_Specialty]]</f>
        <v>2080P0206X Pediatrics: Pediatric Gastroenterology</v>
      </c>
      <c r="C521" s="21" t="str">
        <f>CLEAN(Table1[[#This Row],[Code]])</f>
        <v>2080P0206X</v>
      </c>
      <c r="D521" s="1" t="s">
        <v>828</v>
      </c>
      <c r="E521" s="1"/>
      <c r="F521" s="1" t="s">
        <v>2587</v>
      </c>
      <c r="G521" s="4" t="s">
        <v>2593</v>
      </c>
      <c r="H521" s="1" t="s">
        <v>2707</v>
      </c>
      <c r="I521" s="1"/>
      <c r="J521" s="1" t="s">
        <v>2724</v>
      </c>
      <c r="K521" s="1" t="s">
        <v>2724</v>
      </c>
      <c r="L521" s="1" t="s">
        <v>2724</v>
      </c>
      <c r="M521" s="1" t="s">
        <v>2724</v>
      </c>
      <c r="N521" s="1" t="s">
        <v>2716</v>
      </c>
      <c r="O521" s="1" t="s">
        <v>2724</v>
      </c>
      <c r="P521" s="9"/>
      <c r="R521" s="16">
        <f ca="1">IF(ISNUMBER(SEARCH(INDIRECT(CELL("address")),S521)),MAX($R$1:R520)+1,0)</f>
        <v>520</v>
      </c>
      <c r="S521" s="18" t="str">
        <f>Table1[[#This Row],[Portico_Specialty]]&amp;"-"&amp;Table1[[#This Row],[Code]]</f>
        <v>Pediatrics: Pediatric Gastroenterology-2080P0206X</v>
      </c>
      <c r="U521" s="16" t="str">
        <f ca="1">IFERROR(VLOOKUP(ROWS($U$1:U520),$R$2:$S$918,2,FALSE),"")</f>
        <v>Pediatrics: Pediatric Gastroenterology-2080P0206X</v>
      </c>
    </row>
    <row r="522" spans="1:21" x14ac:dyDescent="0.3">
      <c r="A522" s="21" t="s">
        <v>829</v>
      </c>
      <c r="B522" s="21" t="str">
        <f>Table1[[#This Row],[Code]]&amp;" "&amp;Table1[[#This Row],[Portico_Specialty]]</f>
        <v>2080P0207X Pediatrics: Pediatric Hematology-Oncology</v>
      </c>
      <c r="C522" s="21" t="str">
        <f>CLEAN(Table1[[#This Row],[Code]])</f>
        <v>2080P0207X</v>
      </c>
      <c r="D522" s="1" t="s">
        <v>830</v>
      </c>
      <c r="E522" s="1"/>
      <c r="F522" s="1" t="s">
        <v>2587</v>
      </c>
      <c r="G522" s="4" t="s">
        <v>2593</v>
      </c>
      <c r="H522" s="1" t="s">
        <v>2707</v>
      </c>
      <c r="I522" s="1"/>
      <c r="J522" s="1" t="s">
        <v>2726</v>
      </c>
      <c r="K522" s="1" t="s">
        <v>2726</v>
      </c>
      <c r="L522" s="1" t="s">
        <v>2726</v>
      </c>
      <c r="M522" s="1" t="s">
        <v>2726</v>
      </c>
      <c r="N522" s="1" t="s">
        <v>2726</v>
      </c>
      <c r="O522" s="1" t="s">
        <v>2726</v>
      </c>
      <c r="P522" s="9"/>
      <c r="R522" s="16">
        <f ca="1">IF(ISNUMBER(SEARCH(INDIRECT(CELL("address")),S522)),MAX($R$1:R521)+1,0)</f>
        <v>521</v>
      </c>
      <c r="S522" s="18" t="str">
        <f>Table1[[#This Row],[Portico_Specialty]]&amp;"-"&amp;Table1[[#This Row],[Code]]</f>
        <v>Pediatrics: Pediatric Hematology-Oncology-2080P0207X</v>
      </c>
      <c r="U522" s="16" t="str">
        <f ca="1">IFERROR(VLOOKUP(ROWS($U$1:U521),$R$2:$S$918,2,FALSE),"")</f>
        <v>Pediatrics: Pediatric Hematology-Oncology-2080P0207X</v>
      </c>
    </row>
    <row r="523" spans="1:21" x14ac:dyDescent="0.3">
      <c r="A523" s="21" t="s">
        <v>831</v>
      </c>
      <c r="B523" s="21" t="str">
        <f>Table1[[#This Row],[Code]]&amp;" "&amp;Table1[[#This Row],[Portico_Specialty]]</f>
        <v>2080P0208X Pediatrics: Pediatric Infectious Diseases</v>
      </c>
      <c r="C523" s="21" t="str">
        <f>CLEAN(Table1[[#This Row],[Code]])</f>
        <v>2080P0208X</v>
      </c>
      <c r="D523" s="1" t="s">
        <v>832</v>
      </c>
      <c r="E523" s="1"/>
      <c r="F523" s="1" t="s">
        <v>2587</v>
      </c>
      <c r="G523" s="4" t="s">
        <v>2593</v>
      </c>
      <c r="H523" s="1" t="s">
        <v>2707</v>
      </c>
      <c r="I523" s="1"/>
      <c r="J523" s="1" t="s">
        <v>2727</v>
      </c>
      <c r="K523" s="1" t="s">
        <v>2727</v>
      </c>
      <c r="L523" s="1" t="s">
        <v>2727</v>
      </c>
      <c r="M523" s="1" t="s">
        <v>2727</v>
      </c>
      <c r="N523" s="1" t="s">
        <v>2727</v>
      </c>
      <c r="O523" s="1" t="s">
        <v>2727</v>
      </c>
      <c r="P523" s="9"/>
      <c r="R523" s="16">
        <f ca="1">IF(ISNUMBER(SEARCH(INDIRECT(CELL("address")),S523)),MAX($R$1:R522)+1,0)</f>
        <v>522</v>
      </c>
      <c r="S523" s="18" t="str">
        <f>Table1[[#This Row],[Portico_Specialty]]&amp;"-"&amp;Table1[[#This Row],[Code]]</f>
        <v>Pediatrics: Pediatric Infectious Diseases-2080P0208X</v>
      </c>
      <c r="U523" s="16" t="str">
        <f ca="1">IFERROR(VLOOKUP(ROWS($U$1:U522),$R$2:$S$918,2,FALSE),"")</f>
        <v>Pediatrics: Pediatric Infectious Diseases-2080P0208X</v>
      </c>
    </row>
    <row r="524" spans="1:21" x14ac:dyDescent="0.3">
      <c r="A524" s="21" t="s">
        <v>833</v>
      </c>
      <c r="B524" s="21" t="str">
        <f>Table1[[#This Row],[Code]]&amp;" "&amp;Table1[[#This Row],[Portico_Specialty]]</f>
        <v>2080P0210X Pediatrics: Pediatric Nephrology</v>
      </c>
      <c r="C524" s="21" t="str">
        <f>CLEAN(Table1[[#This Row],[Code]])</f>
        <v>2080P0210X</v>
      </c>
      <c r="D524" s="1" t="s">
        <v>834</v>
      </c>
      <c r="E524" s="1"/>
      <c r="F524" s="1" t="s">
        <v>2587</v>
      </c>
      <c r="G524" s="4" t="s">
        <v>2593</v>
      </c>
      <c r="H524" s="1" t="s">
        <v>2707</v>
      </c>
      <c r="I524" s="1"/>
      <c r="J524" s="1" t="s">
        <v>2729</v>
      </c>
      <c r="K524" s="1" t="s">
        <v>2729</v>
      </c>
      <c r="L524" s="1" t="s">
        <v>2729</v>
      </c>
      <c r="M524" s="1" t="s">
        <v>2729</v>
      </c>
      <c r="N524" s="1" t="s">
        <v>2729</v>
      </c>
      <c r="O524" s="1" t="s">
        <v>2729</v>
      </c>
      <c r="P524" s="9"/>
      <c r="R524" s="16">
        <f ca="1">IF(ISNUMBER(SEARCH(INDIRECT(CELL("address")),S524)),MAX($R$1:R523)+1,0)</f>
        <v>523</v>
      </c>
      <c r="S524" s="18" t="str">
        <f>Table1[[#This Row],[Portico_Specialty]]&amp;"-"&amp;Table1[[#This Row],[Code]]</f>
        <v>Pediatrics: Pediatric Nephrology-2080P0210X</v>
      </c>
      <c r="U524" s="16" t="str">
        <f ca="1">IFERROR(VLOOKUP(ROWS($U$1:U523),$R$2:$S$918,2,FALSE),"")</f>
        <v>Pediatrics: Pediatric Nephrology-2080P0210X</v>
      </c>
    </row>
    <row r="525" spans="1:21" x14ac:dyDescent="0.3">
      <c r="A525" s="21" t="s">
        <v>835</v>
      </c>
      <c r="B525" s="21" t="str">
        <f>Table1[[#This Row],[Code]]&amp;" "&amp;Table1[[#This Row],[Portico_Specialty]]</f>
        <v>2080P0214X Pediatrics: Pediatric Pulmonology</v>
      </c>
      <c r="C525" s="21" t="str">
        <f>CLEAN(Table1[[#This Row],[Code]])</f>
        <v>2080P0214X</v>
      </c>
      <c r="D525" s="1" t="s">
        <v>836</v>
      </c>
      <c r="E525" s="1"/>
      <c r="F525" s="1" t="s">
        <v>2587</v>
      </c>
      <c r="G525" s="4" t="s">
        <v>2593</v>
      </c>
      <c r="H525" s="1" t="s">
        <v>2707</v>
      </c>
      <c r="I525" s="1"/>
      <c r="J525" s="1" t="s">
        <v>2730</v>
      </c>
      <c r="K525" s="1" t="s">
        <v>2730</v>
      </c>
      <c r="L525" s="1" t="s">
        <v>2730</v>
      </c>
      <c r="M525" s="1" t="s">
        <v>2730</v>
      </c>
      <c r="N525" s="1" t="s">
        <v>2730</v>
      </c>
      <c r="O525" s="1" t="s">
        <v>2730</v>
      </c>
      <c r="P525" s="9"/>
      <c r="R525" s="16">
        <f ca="1">IF(ISNUMBER(SEARCH(INDIRECT(CELL("address")),S525)),MAX($R$1:R524)+1,0)</f>
        <v>524</v>
      </c>
      <c r="S525" s="18" t="str">
        <f>Table1[[#This Row],[Portico_Specialty]]&amp;"-"&amp;Table1[[#This Row],[Code]]</f>
        <v>Pediatrics: Pediatric Pulmonology-2080P0214X</v>
      </c>
      <c r="U525" s="16" t="str">
        <f ca="1">IFERROR(VLOOKUP(ROWS($U$1:U524),$R$2:$S$918,2,FALSE),"")</f>
        <v>Pediatrics: Pediatric Pulmonology-2080P0214X</v>
      </c>
    </row>
    <row r="526" spans="1:21" x14ac:dyDescent="0.3">
      <c r="A526" s="21" t="s">
        <v>837</v>
      </c>
      <c r="B526" s="21" t="str">
        <f>Table1[[#This Row],[Code]]&amp;" "&amp;Table1[[#This Row],[Portico_Specialty]]</f>
        <v>2080P0216X Pediatrics: Pediatric Rheumatology</v>
      </c>
      <c r="C526" s="21" t="str">
        <f>CLEAN(Table1[[#This Row],[Code]])</f>
        <v>2080P0216X</v>
      </c>
      <c r="D526" s="1" t="s">
        <v>838</v>
      </c>
      <c r="E526" s="1"/>
      <c r="F526" s="1" t="s">
        <v>2587</v>
      </c>
      <c r="G526" s="4" t="s">
        <v>2593</v>
      </c>
      <c r="H526" s="1" t="s">
        <v>2707</v>
      </c>
      <c r="I526" s="1"/>
      <c r="J526" s="1" t="s">
        <v>2731</v>
      </c>
      <c r="K526" s="1" t="s">
        <v>2731</v>
      </c>
      <c r="L526" s="1" t="s">
        <v>2731</v>
      </c>
      <c r="M526" s="1" t="s">
        <v>2731</v>
      </c>
      <c r="N526" s="1" t="s">
        <v>2731</v>
      </c>
      <c r="O526" s="1" t="s">
        <v>2731</v>
      </c>
      <c r="P526" s="9"/>
      <c r="R526" s="16">
        <f ca="1">IF(ISNUMBER(SEARCH(INDIRECT(CELL("address")),S526)),MAX($R$1:R525)+1,0)</f>
        <v>525</v>
      </c>
      <c r="S526" s="18" t="str">
        <f>Table1[[#This Row],[Portico_Specialty]]&amp;"-"&amp;Table1[[#This Row],[Code]]</f>
        <v>Pediatrics: Pediatric Rheumatology-2080P0216X</v>
      </c>
      <c r="U526" s="16" t="str">
        <f ca="1">IFERROR(VLOOKUP(ROWS($U$1:U525),$R$2:$S$918,2,FALSE),"")</f>
        <v>Pediatrics: Pediatric Rheumatology-2080P0216X</v>
      </c>
    </row>
    <row r="527" spans="1:21" x14ac:dyDescent="0.3">
      <c r="A527" s="21" t="s">
        <v>845</v>
      </c>
      <c r="B527" s="21" t="str">
        <f>Table1[[#This Row],[Code]]&amp;" "&amp;Table1[[#This Row],[Portico_Specialty]]</f>
        <v>2080T0004X Pediatrics: Pediatric Transplant Hepatology</v>
      </c>
      <c r="C527" s="21" t="str">
        <f>CLEAN(Table1[[#This Row],[Code]])</f>
        <v>2080T0004X</v>
      </c>
      <c r="D527" s="1" t="s">
        <v>846</v>
      </c>
      <c r="E527" s="1"/>
      <c r="F527" s="1" t="s">
        <v>2587</v>
      </c>
      <c r="G527" s="4" t="s">
        <v>2593</v>
      </c>
      <c r="H527" s="1" t="s">
        <v>2724</v>
      </c>
      <c r="I527" s="1"/>
      <c r="J527" s="1" t="s">
        <v>2724</v>
      </c>
      <c r="K527" s="1" t="s">
        <v>2707</v>
      </c>
      <c r="L527" s="1" t="s">
        <v>2724</v>
      </c>
      <c r="M527" s="1" t="s">
        <v>2724</v>
      </c>
      <c r="N527" s="1"/>
      <c r="O527" s="1" t="s">
        <v>2707</v>
      </c>
      <c r="P527" s="9"/>
      <c r="R527" s="16">
        <f ca="1">IF(ISNUMBER(SEARCH(INDIRECT(CELL("address")),S527)),MAX($R$1:R526)+1,0)</f>
        <v>526</v>
      </c>
      <c r="S527" s="18" t="str">
        <f>Table1[[#This Row],[Portico_Specialty]]&amp;"-"&amp;Table1[[#This Row],[Code]]</f>
        <v>Pediatrics: Pediatric Transplant Hepatology-2080T0004X</v>
      </c>
      <c r="U527" s="16" t="str">
        <f ca="1">IFERROR(VLOOKUP(ROWS($U$1:U526),$R$2:$S$918,2,FALSE),"")</f>
        <v>Pediatrics: Pediatric Transplant Hepatology-2080T0004X</v>
      </c>
    </row>
    <row r="528" spans="1:21" x14ac:dyDescent="0.3">
      <c r="A528" s="21" t="s">
        <v>841</v>
      </c>
      <c r="B528" s="21" t="str">
        <f>Table1[[#This Row],[Code]]&amp;" "&amp;Table1[[#This Row],[Portico_Specialty]]</f>
        <v>2080S0012X Pediatrics: Sleep Medicine</v>
      </c>
      <c r="C528" s="21" t="str">
        <f>CLEAN(Table1[[#This Row],[Code]])</f>
        <v>2080S0012X</v>
      </c>
      <c r="D528" s="1" t="s">
        <v>842</v>
      </c>
      <c r="E528" s="1"/>
      <c r="F528" s="1" t="s">
        <v>2587</v>
      </c>
      <c r="G528" s="4" t="s">
        <v>2593</v>
      </c>
      <c r="H528" s="1" t="s">
        <v>2707</v>
      </c>
      <c r="I528" s="1"/>
      <c r="J528" s="1" t="s">
        <v>2707</v>
      </c>
      <c r="K528" s="1" t="s">
        <v>2707</v>
      </c>
      <c r="L528" s="1" t="s">
        <v>2709</v>
      </c>
      <c r="M528" s="1" t="s">
        <v>2707</v>
      </c>
      <c r="N528" s="1" t="s">
        <v>2707</v>
      </c>
      <c r="O528" s="1" t="s">
        <v>2707</v>
      </c>
      <c r="P528" s="9"/>
      <c r="R528" s="16">
        <f ca="1">IF(ISNUMBER(SEARCH(INDIRECT(CELL("address")),S528)),MAX($R$1:R527)+1,0)</f>
        <v>527</v>
      </c>
      <c r="S528" s="18" t="str">
        <f>Table1[[#This Row],[Portico_Specialty]]&amp;"-"&amp;Table1[[#This Row],[Code]]</f>
        <v>Pediatrics: Sleep Medicine-2080S0012X</v>
      </c>
      <c r="U528" s="16" t="str">
        <f ca="1">IFERROR(VLOOKUP(ROWS($U$1:U527),$R$2:$S$918,2,FALSE),"")</f>
        <v>Pediatrics: Sleep Medicine-2080S0012X</v>
      </c>
    </row>
    <row r="529" spans="1:21" x14ac:dyDescent="0.3">
      <c r="A529" s="21" t="s">
        <v>839</v>
      </c>
      <c r="B529" s="21" t="str">
        <f>Table1[[#This Row],[Code]]&amp;" "&amp;Table1[[#This Row],[Portico_Specialty]]</f>
        <v>2080S0010X Pediatrics: Sports Medicine</v>
      </c>
      <c r="C529" s="21" t="str">
        <f>CLEAN(Table1[[#This Row],[Code]])</f>
        <v>2080S0010X</v>
      </c>
      <c r="D529" s="1" t="s">
        <v>840</v>
      </c>
      <c r="E529" s="1"/>
      <c r="F529" s="1" t="s">
        <v>2587</v>
      </c>
      <c r="G529" s="4" t="s">
        <v>2593</v>
      </c>
      <c r="H529" s="1" t="s">
        <v>2707</v>
      </c>
      <c r="I529" s="1"/>
      <c r="J529" s="1" t="s">
        <v>2707</v>
      </c>
      <c r="K529" s="1" t="s">
        <v>2707</v>
      </c>
      <c r="L529" s="1" t="s">
        <v>2707</v>
      </c>
      <c r="M529" s="1" t="s">
        <v>2707</v>
      </c>
      <c r="N529" s="1" t="s">
        <v>2707</v>
      </c>
      <c r="O529" s="1" t="s">
        <v>2707</v>
      </c>
      <c r="P529" s="9"/>
      <c r="R529" s="16">
        <f ca="1">IF(ISNUMBER(SEARCH(INDIRECT(CELL("address")),S529)),MAX($R$1:R528)+1,0)</f>
        <v>528</v>
      </c>
      <c r="S529" s="18" t="str">
        <f>Table1[[#This Row],[Portico_Specialty]]&amp;"-"&amp;Table1[[#This Row],[Code]]</f>
        <v>Pediatrics: Sports Medicine-2080S0010X</v>
      </c>
      <c r="U529" s="16" t="str">
        <f ca="1">IFERROR(VLOOKUP(ROWS($U$1:U528),$R$2:$S$918,2,FALSE),"")</f>
        <v>Pediatrics: Sports Medicine-2080S0010X</v>
      </c>
    </row>
    <row r="530" spans="1:21" x14ac:dyDescent="0.3">
      <c r="A530" s="21" t="s">
        <v>1023</v>
      </c>
      <c r="B530" s="21" t="str">
        <f>Table1[[#This Row],[Code]]&amp;" "&amp;Table1[[#This Row],[Portico_Specialty]]</f>
        <v>224L00000X Pedorthist</v>
      </c>
      <c r="C530" s="21" t="str">
        <f>CLEAN(Table1[[#This Row],[Code]])</f>
        <v>224L00000X</v>
      </c>
      <c r="D530" s="1" t="s">
        <v>1024</v>
      </c>
      <c r="E530" s="1"/>
      <c r="F530" s="1" t="s">
        <v>2587</v>
      </c>
      <c r="G530" s="3" t="s">
        <v>2588</v>
      </c>
      <c r="H530" s="1"/>
      <c r="I530" s="1"/>
      <c r="J530" s="1" t="s">
        <v>2590</v>
      </c>
      <c r="K530" s="1" t="s">
        <v>2609</v>
      </c>
      <c r="L530" s="1"/>
      <c r="M530" s="1"/>
      <c r="N530" s="1" t="s">
        <v>2610</v>
      </c>
      <c r="O530" s="1" t="s">
        <v>2609</v>
      </c>
      <c r="P530" s="9"/>
      <c r="R530" s="16">
        <f ca="1">IF(ISNUMBER(SEARCH(INDIRECT(CELL("address")),S530)),MAX($R$1:R529)+1,0)</f>
        <v>529</v>
      </c>
      <c r="S530" s="18" t="str">
        <f>Table1[[#This Row],[Portico_Specialty]]&amp;"-"&amp;Table1[[#This Row],[Code]]</f>
        <v>Pedorthist-224L00000X</v>
      </c>
      <c r="U530" s="16" t="str">
        <f ca="1">IFERROR(VLOOKUP(ROWS($U$1:U529),$R$2:$S$918,2,FALSE),"")</f>
        <v>Pedorthist-224L00000X</v>
      </c>
    </row>
    <row r="531" spans="1:21" x14ac:dyDescent="0.3">
      <c r="A531" s="21" t="s">
        <v>2616</v>
      </c>
      <c r="B531" s="21" t="str">
        <f>Table1[[#This Row],[Code]]&amp;" "&amp;Table1[[#This Row],[Portico_Specialty]]</f>
        <v>AltSpec1 Peer Recovery Supporter - HCBS</v>
      </c>
      <c r="C531" s="21" t="str">
        <f>CLEAN(Table1[[#This Row],[Code]])</f>
        <v>AltSpec1</v>
      </c>
      <c r="D531" s="1" t="s">
        <v>2818</v>
      </c>
      <c r="E531" s="1"/>
      <c r="F531" s="1" t="s">
        <v>2587</v>
      </c>
      <c r="G531" s="3" t="s">
        <v>2588</v>
      </c>
      <c r="H531" s="1"/>
      <c r="I531" s="1"/>
      <c r="J531" s="1"/>
      <c r="K531" s="1" t="s">
        <v>2819</v>
      </c>
      <c r="L531" s="1"/>
      <c r="M531" s="1"/>
      <c r="N531" s="1"/>
      <c r="O531" s="1"/>
      <c r="P531" s="9"/>
      <c r="R531" s="16">
        <f ca="1">IF(ISNUMBER(SEARCH(INDIRECT(CELL("address")),S531)),MAX($R$1:R530)+1,0)</f>
        <v>530</v>
      </c>
      <c r="S531" s="18" t="str">
        <f>Table1[[#This Row],[Portico_Specialty]]&amp;"-"&amp;Table1[[#This Row],[Code]]</f>
        <v>Peer Recovery Supporter - HCBS-AltSpec1</v>
      </c>
      <c r="U531" s="16" t="str">
        <f ca="1">IFERROR(VLOOKUP(ROWS($U$1:U530),$R$2:$S$918,2,FALSE),"")</f>
        <v>Peer Recovery Supporter - HCBS-AltSpec1</v>
      </c>
    </row>
    <row r="532" spans="1:21" x14ac:dyDescent="0.3">
      <c r="A532" s="21" t="s">
        <v>505</v>
      </c>
      <c r="B532" s="21" t="str">
        <f>Table1[[#This Row],[Code]]&amp;" "&amp;Table1[[#This Row],[Portico_Specialty]]</f>
        <v>175T00000X Peer Specialist (Other Service Providers)</v>
      </c>
      <c r="C532" s="21" t="str">
        <f>CLEAN(Table1[[#This Row],[Code]])</f>
        <v>175T00000X</v>
      </c>
      <c r="D532" s="1" t="s">
        <v>506</v>
      </c>
      <c r="E532" s="1"/>
      <c r="F532" s="1" t="s">
        <v>2587</v>
      </c>
      <c r="G532" s="3" t="s">
        <v>2588</v>
      </c>
      <c r="H532" s="1"/>
      <c r="I532" s="1"/>
      <c r="J532" s="1" t="s">
        <v>2590</v>
      </c>
      <c r="K532" s="1" t="s">
        <v>2612</v>
      </c>
      <c r="L532" s="1"/>
      <c r="M532" s="1"/>
      <c r="N532" s="1" t="s">
        <v>2820</v>
      </c>
      <c r="O532" s="1" t="s">
        <v>2612</v>
      </c>
      <c r="P532" s="9"/>
      <c r="R532" s="16">
        <f ca="1">IF(ISNUMBER(SEARCH(INDIRECT(CELL("address")),S532)),MAX($R$1:R531)+1,0)</f>
        <v>531</v>
      </c>
      <c r="S532" s="18" t="str">
        <f>Table1[[#This Row],[Portico_Specialty]]&amp;"-"&amp;Table1[[#This Row],[Code]]</f>
        <v>Peer Specialist (Other Service Providers)-175T00000X</v>
      </c>
      <c r="U532" s="16" t="str">
        <f ca="1">IFERROR(VLOOKUP(ROWS($U$1:U531),$R$2:$S$918,2,FALSE),"")</f>
        <v>Peer Specialist (Other Service Providers)-175T00000X</v>
      </c>
    </row>
    <row r="533" spans="1:21" x14ac:dyDescent="0.3">
      <c r="A533" s="21" t="s">
        <v>1197</v>
      </c>
      <c r="B533" s="21" t="str">
        <f>Table1[[#This Row],[Code]]&amp;" "&amp;Table1[[#This Row],[Portico_Specialty]]</f>
        <v>242T00000X Perfusionist</v>
      </c>
      <c r="C533" s="21" t="str">
        <f>CLEAN(Table1[[#This Row],[Code]])</f>
        <v>242T00000X</v>
      </c>
      <c r="D533" s="1" t="s">
        <v>1198</v>
      </c>
      <c r="E533" s="1"/>
      <c r="F533" s="1" t="s">
        <v>2587</v>
      </c>
      <c r="G533" s="3" t="s">
        <v>2588</v>
      </c>
      <c r="H533" s="1" t="s">
        <v>2615</v>
      </c>
      <c r="I533" s="1"/>
      <c r="J533" s="1" t="s">
        <v>2590</v>
      </c>
      <c r="K533" s="1" t="s">
        <v>2725</v>
      </c>
      <c r="L533" s="1" t="s">
        <v>2821</v>
      </c>
      <c r="M533" s="1"/>
      <c r="N533" s="1" t="s">
        <v>2615</v>
      </c>
      <c r="O533" s="1" t="s">
        <v>2725</v>
      </c>
      <c r="P533" s="9"/>
      <c r="R533" s="16">
        <f ca="1">IF(ISNUMBER(SEARCH(INDIRECT(CELL("address")),S533)),MAX($R$1:R532)+1,0)</f>
        <v>532</v>
      </c>
      <c r="S533" s="18" t="str">
        <f>Table1[[#This Row],[Portico_Specialty]]&amp;"-"&amp;Table1[[#This Row],[Code]]</f>
        <v>Perfusionist-242T00000X</v>
      </c>
      <c r="U533" s="16" t="str">
        <f ca="1">IFERROR(VLOOKUP(ROWS($U$1:U532),$R$2:$S$918,2,FALSE),"")</f>
        <v>Perfusionist-242T00000X</v>
      </c>
    </row>
    <row r="534" spans="1:21" x14ac:dyDescent="0.3">
      <c r="A534" s="21" t="s">
        <v>291</v>
      </c>
      <c r="B534" s="21" t="str">
        <f>Table1[[#This Row],[Code]]&amp;" "&amp;Table1[[#This Row],[Portico_Specialty]]</f>
        <v>146D00000X Personal Emergency Response Attendant</v>
      </c>
      <c r="C534" s="21" t="str">
        <f>CLEAN(Table1[[#This Row],[Code]])</f>
        <v>146D00000X</v>
      </c>
      <c r="D534" s="1" t="s">
        <v>292</v>
      </c>
      <c r="E534" s="1"/>
      <c r="F534" s="1" t="s">
        <v>2587</v>
      </c>
      <c r="G534" s="3" t="s">
        <v>2588</v>
      </c>
      <c r="H534" s="1" t="s">
        <v>2615</v>
      </c>
      <c r="I534" s="1"/>
      <c r="J534" s="1" t="s">
        <v>2590</v>
      </c>
      <c r="K534" s="1" t="s">
        <v>2702</v>
      </c>
      <c r="L534" s="1" t="s">
        <v>2612</v>
      </c>
      <c r="M534" s="1" t="s">
        <v>2615</v>
      </c>
      <c r="N534" s="1" t="s">
        <v>2702</v>
      </c>
      <c r="O534" s="1" t="s">
        <v>2702</v>
      </c>
      <c r="P534" s="9"/>
      <c r="R534" s="16">
        <f ca="1">IF(ISNUMBER(SEARCH(INDIRECT(CELL("address")),S534)),MAX($R$1:R533)+1,0)</f>
        <v>533</v>
      </c>
      <c r="S534" s="18" t="str">
        <f>Table1[[#This Row],[Portico_Specialty]]&amp;"-"&amp;Table1[[#This Row],[Code]]</f>
        <v>Personal Emergency Response Attendant-146D00000X</v>
      </c>
      <c r="U534" s="16" t="str">
        <f ca="1">IFERROR(VLOOKUP(ROWS($U$1:U533),$R$2:$S$918,2,FALSE),"")</f>
        <v>Personal Emergency Response Attendant-146D00000X</v>
      </c>
    </row>
    <row r="535" spans="1:21" x14ac:dyDescent="0.3">
      <c r="A535" s="21" t="s">
        <v>513</v>
      </c>
      <c r="B535" s="21" t="str">
        <f>Table1[[#This Row],[Code]]&amp;" "&amp;Table1[[#This Row],[Portico_Specialty]]</f>
        <v>183500000X Pharmacist</v>
      </c>
      <c r="C535" s="21" t="str">
        <f>CLEAN(Table1[[#This Row],[Code]])</f>
        <v>183500000X</v>
      </c>
      <c r="D535" s="1" t="s">
        <v>514</v>
      </c>
      <c r="E535" s="1"/>
      <c r="F535" s="1" t="s">
        <v>2587</v>
      </c>
      <c r="G535" s="3" t="s">
        <v>2588</v>
      </c>
      <c r="H535" s="1" t="s">
        <v>2693</v>
      </c>
      <c r="I535" s="1"/>
      <c r="J535" s="1" t="s">
        <v>2693</v>
      </c>
      <c r="K535" s="1" t="s">
        <v>2672</v>
      </c>
      <c r="L535" s="1" t="s">
        <v>2693</v>
      </c>
      <c r="M535" s="1" t="s">
        <v>2693</v>
      </c>
      <c r="N535" s="1" t="s">
        <v>2694</v>
      </c>
      <c r="O535" s="1" t="s">
        <v>2672</v>
      </c>
      <c r="P535" s="9"/>
      <c r="R535" s="16">
        <f ca="1">IF(ISNUMBER(SEARCH(INDIRECT(CELL("address")),S535)),MAX($R$1:R534)+1,0)</f>
        <v>534</v>
      </c>
      <c r="S535" s="18" t="str">
        <f>Table1[[#This Row],[Portico_Specialty]]&amp;"-"&amp;Table1[[#This Row],[Code]]</f>
        <v>Pharmacist-183500000X</v>
      </c>
      <c r="U535" s="16" t="str">
        <f ca="1">IFERROR(VLOOKUP(ROWS($U$1:U534),$R$2:$S$918,2,FALSE),"")</f>
        <v>Pharmacist-183500000X</v>
      </c>
    </row>
    <row r="536" spans="1:21" x14ac:dyDescent="0.3">
      <c r="A536" s="21" t="s">
        <v>533</v>
      </c>
      <c r="B536" s="21" t="str">
        <f>Table1[[#This Row],[Code]]&amp;" "&amp;Table1[[#This Row],[Portico_Specialty]]</f>
        <v>1835P2201X Pharmacist: Ambulatory Care</v>
      </c>
      <c r="C536" s="21" t="str">
        <f>CLEAN(Table1[[#This Row],[Code]])</f>
        <v>1835P2201X</v>
      </c>
      <c r="D536" s="1" t="s">
        <v>534</v>
      </c>
      <c r="E536" s="1"/>
      <c r="F536" s="1" t="s">
        <v>2587</v>
      </c>
      <c r="G536" s="3" t="s">
        <v>2588</v>
      </c>
      <c r="H536" s="1"/>
      <c r="I536" s="1"/>
      <c r="J536" s="1" t="s">
        <v>2672</v>
      </c>
      <c r="K536" s="1" t="s">
        <v>2672</v>
      </c>
      <c r="L536" s="1"/>
      <c r="M536" s="1"/>
      <c r="N536" s="1"/>
      <c r="O536" s="1" t="s">
        <v>2672</v>
      </c>
      <c r="P536" s="9"/>
      <c r="R536" s="16">
        <f ca="1">IF(ISNUMBER(SEARCH(INDIRECT(CELL("address")),S536)),MAX($R$1:R535)+1,0)</f>
        <v>535</v>
      </c>
      <c r="S536" s="18" t="str">
        <f>Table1[[#This Row],[Portico_Specialty]]&amp;"-"&amp;Table1[[#This Row],[Code]]</f>
        <v>Pharmacist: Ambulatory Care-1835P2201X</v>
      </c>
      <c r="U536" s="16" t="str">
        <f ca="1">IFERROR(VLOOKUP(ROWS($U$1:U535),$R$2:$S$918,2,FALSE),"")</f>
        <v>Pharmacist: Ambulatory Care-1835P2201X</v>
      </c>
    </row>
    <row r="537" spans="1:21" x14ac:dyDescent="0.3">
      <c r="A537" s="21" t="s">
        <v>515</v>
      </c>
      <c r="B537" s="21" t="str">
        <f>Table1[[#This Row],[Code]]&amp;" "&amp;Table1[[#This Row],[Portico_Specialty]]</f>
        <v xml:space="preserve">1835C0205X Pharmacist: Critical Care </v>
      </c>
      <c r="C537" s="21" t="str">
        <f>CLEAN(Table1[[#This Row],[Code]])</f>
        <v>1835C0205X</v>
      </c>
      <c r="D537" s="1" t="s">
        <v>2822</v>
      </c>
      <c r="E537" s="1"/>
      <c r="F537" s="1" t="s">
        <v>2587</v>
      </c>
      <c r="G537" s="4" t="s">
        <v>2593</v>
      </c>
      <c r="H537" s="1"/>
      <c r="I537" s="1"/>
      <c r="J537" s="1" t="s">
        <v>2672</v>
      </c>
      <c r="K537" s="1" t="s">
        <v>2672</v>
      </c>
      <c r="L537" s="1"/>
      <c r="M537" s="1"/>
      <c r="N537" s="1"/>
      <c r="O537" s="1" t="s">
        <v>2672</v>
      </c>
      <c r="P537" s="9"/>
      <c r="R537" s="16">
        <f ca="1">IF(ISNUMBER(SEARCH(INDIRECT(CELL("address")),S537)),MAX($R$1:R536)+1,0)</f>
        <v>536</v>
      </c>
      <c r="S537" s="18" t="str">
        <f>Table1[[#This Row],[Portico_Specialty]]&amp;"-"&amp;Table1[[#This Row],[Code]]</f>
        <v>Pharmacist: Critical Care -1835C0205X</v>
      </c>
      <c r="U537" s="16" t="str">
        <f ca="1">IFERROR(VLOOKUP(ROWS($U$1:U536),$R$2:$S$918,2,FALSE),"")</f>
        <v>Pharmacist: Critical Care -1835C0205X</v>
      </c>
    </row>
    <row r="538" spans="1:21" x14ac:dyDescent="0.3">
      <c r="A538" s="21" t="s">
        <v>517</v>
      </c>
      <c r="B538" s="21" t="str">
        <f>Table1[[#This Row],[Code]]&amp;" "&amp;Table1[[#This Row],[Portico_Specialty]]</f>
        <v>1835G0000X Pharmacist: General Practice</v>
      </c>
      <c r="C538" s="21" t="str">
        <f>CLEAN(Table1[[#This Row],[Code]])</f>
        <v>1835G0000X</v>
      </c>
      <c r="D538" s="1" t="s">
        <v>518</v>
      </c>
      <c r="E538" s="1"/>
      <c r="F538" s="1" t="s">
        <v>2587</v>
      </c>
      <c r="G538" s="3" t="s">
        <v>2588</v>
      </c>
      <c r="H538" s="1" t="s">
        <v>2693</v>
      </c>
      <c r="I538" s="1"/>
      <c r="J538" s="1" t="s">
        <v>2693</v>
      </c>
      <c r="K538" s="1" t="s">
        <v>2672</v>
      </c>
      <c r="L538" s="1" t="s">
        <v>2693</v>
      </c>
      <c r="M538" s="1" t="s">
        <v>2693</v>
      </c>
      <c r="N538" s="1" t="s">
        <v>2694</v>
      </c>
      <c r="O538" s="1" t="s">
        <v>2672</v>
      </c>
      <c r="P538" s="9"/>
      <c r="R538" s="16">
        <f ca="1">IF(ISNUMBER(SEARCH(INDIRECT(CELL("address")),S538)),MAX($R$1:R537)+1,0)</f>
        <v>537</v>
      </c>
      <c r="S538" s="18" t="str">
        <f>Table1[[#This Row],[Portico_Specialty]]&amp;"-"&amp;Table1[[#This Row],[Code]]</f>
        <v>Pharmacist: General Practice-1835G0000X</v>
      </c>
      <c r="U538" s="16" t="str">
        <f ca="1">IFERROR(VLOOKUP(ROWS($U$1:U537),$R$2:$S$918,2,FALSE),"")</f>
        <v>Pharmacist: General Practice-1835G0000X</v>
      </c>
    </row>
    <row r="539" spans="1:21" x14ac:dyDescent="0.3">
      <c r="A539" s="21" t="s">
        <v>519</v>
      </c>
      <c r="B539" s="21" t="str">
        <f>Table1[[#This Row],[Code]]&amp;" "&amp;Table1[[#This Row],[Portico_Specialty]]</f>
        <v>1835G0303X Pharmacist: Geriatric</v>
      </c>
      <c r="C539" s="21" t="str">
        <f>CLEAN(Table1[[#This Row],[Code]])</f>
        <v>1835G0303X</v>
      </c>
      <c r="D539" s="1" t="s">
        <v>520</v>
      </c>
      <c r="E539" s="1"/>
      <c r="F539" s="1" t="s">
        <v>2587</v>
      </c>
      <c r="G539" s="3" t="s">
        <v>2588</v>
      </c>
      <c r="H539" s="1" t="s">
        <v>2693</v>
      </c>
      <c r="I539" s="1"/>
      <c r="J539" s="1" t="s">
        <v>2693</v>
      </c>
      <c r="K539" s="1" t="s">
        <v>2672</v>
      </c>
      <c r="L539" s="1" t="s">
        <v>2693</v>
      </c>
      <c r="M539" s="1" t="s">
        <v>2693</v>
      </c>
      <c r="N539" s="1" t="s">
        <v>2694</v>
      </c>
      <c r="O539" s="1" t="s">
        <v>2672</v>
      </c>
      <c r="P539" s="9"/>
      <c r="R539" s="16">
        <f ca="1">IF(ISNUMBER(SEARCH(INDIRECT(CELL("address")),S539)),MAX($R$1:R538)+1,0)</f>
        <v>538</v>
      </c>
      <c r="S539" s="18" t="str">
        <f>Table1[[#This Row],[Portico_Specialty]]&amp;"-"&amp;Table1[[#This Row],[Code]]</f>
        <v>Pharmacist: Geriatric-1835G0303X</v>
      </c>
      <c r="U539" s="16" t="str">
        <f ca="1">IFERROR(VLOOKUP(ROWS($U$1:U538),$R$2:$S$918,2,FALSE),"")</f>
        <v>Pharmacist: Geriatric-1835G0303X</v>
      </c>
    </row>
    <row r="540" spans="1:21" x14ac:dyDescent="0.3">
      <c r="A540" s="21" t="s">
        <v>521</v>
      </c>
      <c r="B540" s="21" t="str">
        <f>Table1[[#This Row],[Code]]&amp;" "&amp;Table1[[#This Row],[Portico_Specialty]]</f>
        <v>1835N0905X Pharmacist: Nuclear</v>
      </c>
      <c r="C540" s="21" t="str">
        <f>CLEAN(Table1[[#This Row],[Code]])</f>
        <v>1835N0905X</v>
      </c>
      <c r="D540" s="1" t="s">
        <v>522</v>
      </c>
      <c r="E540" s="1"/>
      <c r="F540" s="1" t="s">
        <v>2587</v>
      </c>
      <c r="G540" s="3" t="s">
        <v>2588</v>
      </c>
      <c r="H540" s="1" t="s">
        <v>2693</v>
      </c>
      <c r="I540" s="1"/>
      <c r="J540" s="1" t="s">
        <v>2693</v>
      </c>
      <c r="K540" s="1" t="s">
        <v>2672</v>
      </c>
      <c r="L540" s="1" t="s">
        <v>2693</v>
      </c>
      <c r="M540" s="1" t="s">
        <v>2693</v>
      </c>
      <c r="N540" s="1" t="s">
        <v>2694</v>
      </c>
      <c r="O540" s="1" t="s">
        <v>2672</v>
      </c>
      <c r="P540" s="9"/>
      <c r="R540" s="16">
        <f ca="1">IF(ISNUMBER(SEARCH(INDIRECT(CELL("address")),S540)),MAX($R$1:R539)+1,0)</f>
        <v>539</v>
      </c>
      <c r="S540" s="18" t="str">
        <f>Table1[[#This Row],[Portico_Specialty]]&amp;"-"&amp;Table1[[#This Row],[Code]]</f>
        <v>Pharmacist: Nuclear-1835N0905X</v>
      </c>
      <c r="U540" s="16" t="str">
        <f ca="1">IFERROR(VLOOKUP(ROWS($U$1:U539),$R$2:$S$918,2,FALSE),"")</f>
        <v>Pharmacist: Nuclear-1835N0905X</v>
      </c>
    </row>
    <row r="541" spans="1:21" x14ac:dyDescent="0.3">
      <c r="A541" s="21" t="s">
        <v>523</v>
      </c>
      <c r="B541" s="21" t="str">
        <f>Table1[[#This Row],[Code]]&amp;" "&amp;Table1[[#This Row],[Portico_Specialty]]</f>
        <v>1835N1003X Pharmacist: Nutrition Support</v>
      </c>
      <c r="C541" s="21" t="str">
        <f>CLEAN(Table1[[#This Row],[Code]])</f>
        <v>1835N1003X</v>
      </c>
      <c r="D541" s="1" t="s">
        <v>524</v>
      </c>
      <c r="E541" s="1"/>
      <c r="F541" s="1" t="s">
        <v>2587</v>
      </c>
      <c r="G541" s="3" t="s">
        <v>2588</v>
      </c>
      <c r="H541" s="1" t="s">
        <v>2693</v>
      </c>
      <c r="I541" s="1"/>
      <c r="J541" s="1" t="s">
        <v>2693</v>
      </c>
      <c r="K541" s="1" t="s">
        <v>2672</v>
      </c>
      <c r="L541" s="1" t="s">
        <v>2693</v>
      </c>
      <c r="M541" s="1" t="s">
        <v>2693</v>
      </c>
      <c r="N541" s="1" t="s">
        <v>2694</v>
      </c>
      <c r="O541" s="1" t="s">
        <v>2672</v>
      </c>
      <c r="P541" s="9"/>
      <c r="R541" s="16">
        <f ca="1">IF(ISNUMBER(SEARCH(INDIRECT(CELL("address")),S541)),MAX($R$1:R540)+1,0)</f>
        <v>540</v>
      </c>
      <c r="S541" s="18" t="str">
        <f>Table1[[#This Row],[Portico_Specialty]]&amp;"-"&amp;Table1[[#This Row],[Code]]</f>
        <v>Pharmacist: Nutrition Support-1835N1003X</v>
      </c>
      <c r="U541" s="16" t="str">
        <f ca="1">IFERROR(VLOOKUP(ROWS($U$1:U540),$R$2:$S$918,2,FALSE),"")</f>
        <v>Pharmacist: Nutrition Support-1835N1003X</v>
      </c>
    </row>
    <row r="542" spans="1:21" x14ac:dyDescent="0.3">
      <c r="A542" s="21" t="s">
        <v>535</v>
      </c>
      <c r="B542" s="21" t="str">
        <f>Table1[[#This Row],[Code]]&amp;" "&amp;Table1[[#This Row],[Portico_Specialty]]</f>
        <v>1835X0200X Pharmacist: Oncology</v>
      </c>
      <c r="C542" s="21" t="str">
        <f>CLEAN(Table1[[#This Row],[Code]])</f>
        <v>1835X0200X</v>
      </c>
      <c r="D542" s="1" t="s">
        <v>536</v>
      </c>
      <c r="E542" s="1"/>
      <c r="F542" s="1" t="s">
        <v>2587</v>
      </c>
      <c r="G542" s="3" t="s">
        <v>2588</v>
      </c>
      <c r="H542" s="1" t="s">
        <v>2693</v>
      </c>
      <c r="I542" s="1"/>
      <c r="J542" s="1" t="s">
        <v>2693</v>
      </c>
      <c r="K542" s="1" t="s">
        <v>2672</v>
      </c>
      <c r="L542" s="1" t="s">
        <v>2693</v>
      </c>
      <c r="M542" s="1" t="s">
        <v>2693</v>
      </c>
      <c r="N542" s="1" t="s">
        <v>2694</v>
      </c>
      <c r="O542" s="1" t="s">
        <v>2672</v>
      </c>
      <c r="P542" s="9"/>
      <c r="R542" s="16">
        <f ca="1">IF(ISNUMBER(SEARCH(INDIRECT(CELL("address")),S542)),MAX($R$1:R541)+1,0)</f>
        <v>541</v>
      </c>
      <c r="S542" s="18" t="str">
        <f>Table1[[#This Row],[Portico_Specialty]]&amp;"-"&amp;Table1[[#This Row],[Code]]</f>
        <v>Pharmacist: Oncology-1835X0200X</v>
      </c>
      <c r="U542" s="16" t="str">
        <f ca="1">IFERROR(VLOOKUP(ROWS($U$1:U541),$R$2:$S$918,2,FALSE),"")</f>
        <v>Pharmacist: Oncology-1835X0200X</v>
      </c>
    </row>
    <row r="543" spans="1:21" x14ac:dyDescent="0.3">
      <c r="A543" s="21" t="s">
        <v>527</v>
      </c>
      <c r="B543" s="21" t="str">
        <f>Table1[[#This Row],[Code]]&amp;" "&amp;Table1[[#This Row],[Portico_Specialty]]</f>
        <v>1835P0200X Pharmacist: Pediatrics</v>
      </c>
      <c r="C543" s="21" t="str">
        <f>CLEAN(Table1[[#This Row],[Code]])</f>
        <v>1835P0200X</v>
      </c>
      <c r="D543" s="1" t="s">
        <v>528</v>
      </c>
      <c r="E543" s="1"/>
      <c r="F543" s="1" t="s">
        <v>2587</v>
      </c>
      <c r="G543" s="4" t="s">
        <v>2593</v>
      </c>
      <c r="H543" s="1"/>
      <c r="I543" s="1"/>
      <c r="J543" s="1" t="s">
        <v>2672</v>
      </c>
      <c r="K543" s="1" t="s">
        <v>2672</v>
      </c>
      <c r="L543" s="1"/>
      <c r="M543" s="1"/>
      <c r="N543" s="1"/>
      <c r="O543" s="1" t="s">
        <v>2672</v>
      </c>
      <c r="P543" s="9"/>
      <c r="R543" s="16">
        <f ca="1">IF(ISNUMBER(SEARCH(INDIRECT(CELL("address")),S543)),MAX($R$1:R542)+1,0)</f>
        <v>542</v>
      </c>
      <c r="S543" s="18" t="str">
        <f>Table1[[#This Row],[Portico_Specialty]]&amp;"-"&amp;Table1[[#This Row],[Code]]</f>
        <v>Pharmacist: Pediatrics-1835P0200X</v>
      </c>
      <c r="U543" s="16" t="str">
        <f ca="1">IFERROR(VLOOKUP(ROWS($U$1:U542),$R$2:$S$918,2,FALSE),"")</f>
        <v>Pharmacist: Pediatrics-1835P0200X</v>
      </c>
    </row>
    <row r="544" spans="1:21" ht="30.75" x14ac:dyDescent="0.3">
      <c r="A544" s="21" t="s">
        <v>525</v>
      </c>
      <c r="B544" s="21" t="str">
        <f>Table1[[#This Row],[Code]]&amp;" "&amp;Table1[[#This Row],[Portico_Specialty]]</f>
        <v>1835P0018X Pharmacist: Pharmacist Clinician (PhC)/ Clinical Pharmacy Specialist</v>
      </c>
      <c r="C544" s="21" t="str">
        <f>CLEAN(Table1[[#This Row],[Code]])</f>
        <v>1835P0018X</v>
      </c>
      <c r="D544" s="1" t="s">
        <v>526</v>
      </c>
      <c r="E544" s="1"/>
      <c r="F544" s="1" t="s">
        <v>2587</v>
      </c>
      <c r="G544" s="3" t="s">
        <v>2588</v>
      </c>
      <c r="H544" s="1" t="s">
        <v>2693</v>
      </c>
      <c r="I544" s="1"/>
      <c r="J544" s="1" t="s">
        <v>2693</v>
      </c>
      <c r="K544" s="1" t="s">
        <v>2672</v>
      </c>
      <c r="L544" s="1" t="s">
        <v>2693</v>
      </c>
      <c r="M544" s="1" t="s">
        <v>2693</v>
      </c>
      <c r="N544" s="1" t="s">
        <v>2694</v>
      </c>
      <c r="O544" s="1" t="s">
        <v>2672</v>
      </c>
      <c r="P544" s="9"/>
      <c r="R544" s="16">
        <f ca="1">IF(ISNUMBER(SEARCH(INDIRECT(CELL("address")),S544)),MAX($R$1:R543)+1,0)</f>
        <v>543</v>
      </c>
      <c r="S544" s="18" t="str">
        <f>Table1[[#This Row],[Portico_Specialty]]&amp;"-"&amp;Table1[[#This Row],[Code]]</f>
        <v>Pharmacist: Pharmacist Clinician (PhC)/ Clinical Pharmacy Specialist-1835P0018X</v>
      </c>
      <c r="U544" s="16" t="str">
        <f ca="1">IFERROR(VLOOKUP(ROWS($U$1:U543),$R$2:$S$918,2,FALSE),"")</f>
        <v>Pharmacist: Pharmacist Clinician (PhC)/ Clinical Pharmacy Specialist-1835P0018X</v>
      </c>
    </row>
    <row r="545" spans="1:21" x14ac:dyDescent="0.3">
      <c r="A545" s="21" t="s">
        <v>529</v>
      </c>
      <c r="B545" s="21" t="str">
        <f>Table1[[#This Row],[Code]]&amp;" "&amp;Table1[[#This Row],[Portico_Specialty]]</f>
        <v>1835P1200X Pharmacist: Pharmacotherapy</v>
      </c>
      <c r="C545" s="21" t="str">
        <f>CLEAN(Table1[[#This Row],[Code]])</f>
        <v>1835P1200X</v>
      </c>
      <c r="D545" s="1" t="s">
        <v>530</v>
      </c>
      <c r="E545" s="1"/>
      <c r="F545" s="1" t="s">
        <v>2587</v>
      </c>
      <c r="G545" s="3" t="s">
        <v>2588</v>
      </c>
      <c r="H545" s="1" t="s">
        <v>2693</v>
      </c>
      <c r="I545" s="1"/>
      <c r="J545" s="1" t="s">
        <v>2693</v>
      </c>
      <c r="K545" s="1" t="s">
        <v>2672</v>
      </c>
      <c r="L545" s="1" t="s">
        <v>2693</v>
      </c>
      <c r="M545" s="1" t="s">
        <v>2693</v>
      </c>
      <c r="N545" s="1" t="s">
        <v>2694</v>
      </c>
      <c r="O545" s="1" t="s">
        <v>2672</v>
      </c>
      <c r="P545" s="9"/>
      <c r="R545" s="16">
        <f ca="1">IF(ISNUMBER(SEARCH(INDIRECT(CELL("address")),S545)),MAX($R$1:R544)+1,0)</f>
        <v>544</v>
      </c>
      <c r="S545" s="18" t="str">
        <f>Table1[[#This Row],[Portico_Specialty]]&amp;"-"&amp;Table1[[#This Row],[Code]]</f>
        <v>Pharmacist: Pharmacotherapy-1835P1200X</v>
      </c>
      <c r="U545" s="16" t="str">
        <f ca="1">IFERROR(VLOOKUP(ROWS($U$1:U544),$R$2:$S$918,2,FALSE),"")</f>
        <v>Pharmacist: Pharmacotherapy-1835P1200X</v>
      </c>
    </row>
    <row r="546" spans="1:21" x14ac:dyDescent="0.3">
      <c r="A546" s="21" t="s">
        <v>531</v>
      </c>
      <c r="B546" s="21" t="str">
        <f>Table1[[#This Row],[Code]]&amp;" "&amp;Table1[[#This Row],[Portico_Specialty]]</f>
        <v>1835P1300X Pharmacist: Psychiatric</v>
      </c>
      <c r="C546" s="21" t="str">
        <f>CLEAN(Table1[[#This Row],[Code]])</f>
        <v>1835P1300X</v>
      </c>
      <c r="D546" s="1" t="s">
        <v>532</v>
      </c>
      <c r="E546" s="1"/>
      <c r="F546" s="1" t="s">
        <v>2587</v>
      </c>
      <c r="G546" s="3" t="s">
        <v>2588</v>
      </c>
      <c r="H546" s="1" t="s">
        <v>2693</v>
      </c>
      <c r="I546" s="1"/>
      <c r="J546" s="1" t="s">
        <v>2693</v>
      </c>
      <c r="K546" s="1" t="s">
        <v>2672</v>
      </c>
      <c r="L546" s="1" t="s">
        <v>2693</v>
      </c>
      <c r="M546" s="1" t="s">
        <v>2693</v>
      </c>
      <c r="N546" s="1" t="s">
        <v>2694</v>
      </c>
      <c r="O546" s="1" t="s">
        <v>2672</v>
      </c>
      <c r="P546" s="9"/>
      <c r="R546" s="16">
        <f ca="1">IF(ISNUMBER(SEARCH(INDIRECT(CELL("address")),S546)),MAX($R$1:R545)+1,0)</f>
        <v>545</v>
      </c>
      <c r="S546" s="18" t="str">
        <f>Table1[[#This Row],[Portico_Specialty]]&amp;"-"&amp;Table1[[#This Row],[Code]]</f>
        <v>Pharmacist: Psychiatric-1835P1300X</v>
      </c>
      <c r="U546" s="16" t="str">
        <f ca="1">IFERROR(VLOOKUP(ROWS($U$1:U545),$R$2:$S$918,2,FALSE),"")</f>
        <v>Pharmacist: Psychiatric-1835P1300X</v>
      </c>
    </row>
    <row r="547" spans="1:21" x14ac:dyDescent="0.3">
      <c r="A547" s="21" t="s">
        <v>1621</v>
      </c>
      <c r="B547" s="21" t="str">
        <f>Table1[[#This Row],[Code]]&amp;" "&amp;Table1[[#This Row],[Portico_Specialty]]</f>
        <v>333600000X Pharmacy</v>
      </c>
      <c r="C547" s="21" t="str">
        <f>CLEAN(Table1[[#This Row],[Code]])</f>
        <v>333600000X</v>
      </c>
      <c r="D547" s="1" t="s">
        <v>1622</v>
      </c>
      <c r="E547" s="1"/>
      <c r="F547" s="1" t="s">
        <v>2587</v>
      </c>
      <c r="G547" s="4" t="s">
        <v>2593</v>
      </c>
      <c r="H547" s="1" t="s">
        <v>2693</v>
      </c>
      <c r="I547" s="1"/>
      <c r="J547" s="1" t="s">
        <v>2693</v>
      </c>
      <c r="K547" s="1" t="s">
        <v>2672</v>
      </c>
      <c r="L547" s="1" t="s">
        <v>2693</v>
      </c>
      <c r="M547" s="1" t="s">
        <v>2693</v>
      </c>
      <c r="N547" s="1" t="s">
        <v>2694</v>
      </c>
      <c r="O547" s="1" t="s">
        <v>2672</v>
      </c>
      <c r="P547" s="9"/>
      <c r="R547" s="16">
        <f ca="1">IF(ISNUMBER(SEARCH(INDIRECT(CELL("address")),S547)),MAX($R$1:R546)+1,0)</f>
        <v>546</v>
      </c>
      <c r="S547" s="18" t="str">
        <f>Table1[[#This Row],[Portico_Specialty]]&amp;"-"&amp;Table1[[#This Row],[Code]]</f>
        <v>Pharmacy-333600000X</v>
      </c>
      <c r="U547" s="16" t="str">
        <f ca="1">IFERROR(VLOOKUP(ROWS($U$1:U546),$R$2:$S$918,2,FALSE),"")</f>
        <v>Pharmacy-333600000X</v>
      </c>
    </row>
    <row r="548" spans="1:21" x14ac:dyDescent="0.3">
      <c r="A548" s="21" t="s">
        <v>537</v>
      </c>
      <c r="B548" s="21" t="str">
        <f>Table1[[#This Row],[Code]]&amp;" "&amp;Table1[[#This Row],[Portico_Specialty]]</f>
        <v>183700000X Pharmacy Technician</v>
      </c>
      <c r="C548" s="21" t="str">
        <f>CLEAN(Table1[[#This Row],[Code]])</f>
        <v>183700000X</v>
      </c>
      <c r="D548" s="1" t="s">
        <v>538</v>
      </c>
      <c r="E548" s="1"/>
      <c r="F548" s="1" t="s">
        <v>2587</v>
      </c>
      <c r="G548" s="3" t="s">
        <v>2588</v>
      </c>
      <c r="H548" s="1" t="s">
        <v>2693</v>
      </c>
      <c r="I548" s="1"/>
      <c r="J548" s="1" t="s">
        <v>2693</v>
      </c>
      <c r="K548" s="1" t="s">
        <v>2672</v>
      </c>
      <c r="L548" s="1" t="s">
        <v>2693</v>
      </c>
      <c r="M548" s="1" t="s">
        <v>2693</v>
      </c>
      <c r="N548" s="1" t="s">
        <v>2694</v>
      </c>
      <c r="O548" s="1" t="s">
        <v>2672</v>
      </c>
      <c r="P548" s="9"/>
      <c r="R548" s="16">
        <f ca="1">IF(ISNUMBER(SEARCH(INDIRECT(CELL("address")),S548)),MAX($R$1:R547)+1,0)</f>
        <v>547</v>
      </c>
      <c r="S548" s="18" t="str">
        <f>Table1[[#This Row],[Portico_Specialty]]&amp;"-"&amp;Table1[[#This Row],[Code]]</f>
        <v>Pharmacy Technician-183700000X</v>
      </c>
      <c r="U548" s="16" t="str">
        <f ca="1">IFERROR(VLOOKUP(ROWS($U$1:U547),$R$2:$S$918,2,FALSE),"")</f>
        <v>Pharmacy Technician-183700000X</v>
      </c>
    </row>
    <row r="549" spans="1:21" x14ac:dyDescent="0.3">
      <c r="A549" s="21" t="s">
        <v>1623</v>
      </c>
      <c r="B549" s="21" t="str">
        <f>Table1[[#This Row],[Code]]&amp;" "&amp;Table1[[#This Row],[Portico_Specialty]]</f>
        <v>3336C0002X Pharmacy: Clinic Pharmacy</v>
      </c>
      <c r="C549" s="21" t="str">
        <f>CLEAN(Table1[[#This Row],[Code]])</f>
        <v>3336C0002X</v>
      </c>
      <c r="D549" s="1" t="s">
        <v>1624</v>
      </c>
      <c r="E549" s="1"/>
      <c r="F549" s="1" t="s">
        <v>2587</v>
      </c>
      <c r="G549" s="4" t="s">
        <v>2593</v>
      </c>
      <c r="H549" s="1" t="s">
        <v>2693</v>
      </c>
      <c r="I549" s="1"/>
      <c r="J549" s="1" t="s">
        <v>2693</v>
      </c>
      <c r="K549" s="1" t="s">
        <v>2672</v>
      </c>
      <c r="L549" s="1" t="s">
        <v>2693</v>
      </c>
      <c r="M549" s="1" t="s">
        <v>2693</v>
      </c>
      <c r="N549" s="1" t="s">
        <v>2694</v>
      </c>
      <c r="O549" s="1" t="s">
        <v>2672</v>
      </c>
      <c r="P549" s="9"/>
      <c r="R549" s="16">
        <f ca="1">IF(ISNUMBER(SEARCH(INDIRECT(CELL("address")),S549)),MAX($R$1:R548)+1,0)</f>
        <v>548</v>
      </c>
      <c r="S549" s="18" t="str">
        <f>Table1[[#This Row],[Portico_Specialty]]&amp;"-"&amp;Table1[[#This Row],[Code]]</f>
        <v>Pharmacy: Clinic Pharmacy-3336C0002X</v>
      </c>
      <c r="U549" s="16" t="str">
        <f ca="1">IFERROR(VLOOKUP(ROWS($U$1:U548),$R$2:$S$918,2,FALSE),"")</f>
        <v>Pharmacy: Clinic Pharmacy-3336C0002X</v>
      </c>
    </row>
    <row r="550" spans="1:21" x14ac:dyDescent="0.3">
      <c r="A550" s="21" t="s">
        <v>1625</v>
      </c>
      <c r="B550" s="21" t="str">
        <f>Table1[[#This Row],[Code]]&amp;" "&amp;Table1[[#This Row],[Portico_Specialty]]</f>
        <v>3336C0003X Pharmacy: Community/Retail Pharmacy</v>
      </c>
      <c r="C550" s="21" t="str">
        <f>CLEAN(Table1[[#This Row],[Code]])</f>
        <v>3336C0003X</v>
      </c>
      <c r="D550" s="1" t="s">
        <v>1626</v>
      </c>
      <c r="E550" s="1"/>
      <c r="F550" s="1" t="s">
        <v>2587</v>
      </c>
      <c r="G550" s="4" t="s">
        <v>2593</v>
      </c>
      <c r="H550" s="1" t="s">
        <v>2693</v>
      </c>
      <c r="I550" s="1"/>
      <c r="J550" s="1" t="s">
        <v>2693</v>
      </c>
      <c r="K550" s="1" t="s">
        <v>2672</v>
      </c>
      <c r="L550" s="1" t="s">
        <v>2693</v>
      </c>
      <c r="M550" s="1" t="s">
        <v>2621</v>
      </c>
      <c r="N550" s="1" t="s">
        <v>2621</v>
      </c>
      <c r="O550" s="1" t="s">
        <v>2672</v>
      </c>
      <c r="P550" s="9"/>
      <c r="R550" s="16">
        <f ca="1">IF(ISNUMBER(SEARCH(INDIRECT(CELL("address")),S550)),MAX($R$1:R549)+1,0)</f>
        <v>549</v>
      </c>
      <c r="S550" s="18" t="str">
        <f>Table1[[#This Row],[Portico_Specialty]]&amp;"-"&amp;Table1[[#This Row],[Code]]</f>
        <v>Pharmacy: Community/Retail Pharmacy-3336C0003X</v>
      </c>
      <c r="U550" s="16" t="str">
        <f ca="1">IFERROR(VLOOKUP(ROWS($U$1:U549),$R$2:$S$918,2,FALSE),"")</f>
        <v>Pharmacy: Community/Retail Pharmacy-3336C0003X</v>
      </c>
    </row>
    <row r="551" spans="1:21" x14ac:dyDescent="0.3">
      <c r="A551" s="21" t="s">
        <v>1627</v>
      </c>
      <c r="B551" s="21" t="str">
        <f>Table1[[#This Row],[Code]]&amp;" "&amp;Table1[[#This Row],[Portico_Specialty]]</f>
        <v>3336C0004X Pharmacy: Compounding Pharmacy</v>
      </c>
      <c r="C551" s="21" t="str">
        <f>CLEAN(Table1[[#This Row],[Code]])</f>
        <v>3336C0004X</v>
      </c>
      <c r="D551" s="1" t="s">
        <v>1628</v>
      </c>
      <c r="E551" s="1"/>
      <c r="F551" s="1" t="s">
        <v>2587</v>
      </c>
      <c r="G551" s="4" t="s">
        <v>2593</v>
      </c>
      <c r="H551" s="1" t="s">
        <v>2693</v>
      </c>
      <c r="I551" s="1"/>
      <c r="J551" s="1" t="s">
        <v>2693</v>
      </c>
      <c r="K551" s="1" t="s">
        <v>2672</v>
      </c>
      <c r="L551" s="1" t="s">
        <v>2693</v>
      </c>
      <c r="M551" s="1" t="s">
        <v>2693</v>
      </c>
      <c r="N551" s="1" t="s">
        <v>2694</v>
      </c>
      <c r="O551" s="1" t="s">
        <v>2672</v>
      </c>
      <c r="P551" s="9"/>
      <c r="R551" s="16">
        <f ca="1">IF(ISNUMBER(SEARCH(INDIRECT(CELL("address")),S551)),MAX($R$1:R550)+1,0)</f>
        <v>550</v>
      </c>
      <c r="S551" s="18" t="str">
        <f>Table1[[#This Row],[Portico_Specialty]]&amp;"-"&amp;Table1[[#This Row],[Code]]</f>
        <v>Pharmacy: Compounding Pharmacy-3336C0004X</v>
      </c>
      <c r="U551" s="16" t="str">
        <f ca="1">IFERROR(VLOOKUP(ROWS($U$1:U550),$R$2:$S$918,2,FALSE),"")</f>
        <v>Pharmacy: Compounding Pharmacy-3336C0004X</v>
      </c>
    </row>
    <row r="552" spans="1:21" ht="30.75" x14ac:dyDescent="0.3">
      <c r="A552" s="21" t="s">
        <v>1629</v>
      </c>
      <c r="B552" s="21" t="str">
        <f>Table1[[#This Row],[Code]]&amp;" "&amp;Table1[[#This Row],[Portico_Specialty]]</f>
        <v>3336H0001X Pharmacy: Home Infusion Therapy Pharmacy</v>
      </c>
      <c r="C552" s="21" t="str">
        <f>CLEAN(Table1[[#This Row],[Code]])</f>
        <v>3336H0001X</v>
      </c>
      <c r="D552" s="1" t="s">
        <v>1630</v>
      </c>
      <c r="E552" s="1"/>
      <c r="F552" s="1" t="s">
        <v>2587</v>
      </c>
      <c r="G552" s="4" t="s">
        <v>2593</v>
      </c>
      <c r="H552" s="1" t="s">
        <v>2693</v>
      </c>
      <c r="I552" s="1"/>
      <c r="J552" s="1" t="s">
        <v>2693</v>
      </c>
      <c r="K552" s="1" t="s">
        <v>2672</v>
      </c>
      <c r="L552" s="1" t="s">
        <v>2693</v>
      </c>
      <c r="M552" s="1" t="s">
        <v>2693</v>
      </c>
      <c r="N552" s="1" t="s">
        <v>2694</v>
      </c>
      <c r="O552" s="1" t="s">
        <v>2672</v>
      </c>
      <c r="P552" s="9"/>
      <c r="R552" s="16">
        <f ca="1">IF(ISNUMBER(SEARCH(INDIRECT(CELL("address")),S552)),MAX($R$1:R551)+1,0)</f>
        <v>551</v>
      </c>
      <c r="S552" s="18" t="str">
        <f>Table1[[#This Row],[Portico_Specialty]]&amp;"-"&amp;Table1[[#This Row],[Code]]</f>
        <v>Pharmacy: Home Infusion Therapy Pharmacy-3336H0001X</v>
      </c>
      <c r="U552" s="16" t="str">
        <f ca="1">IFERROR(VLOOKUP(ROWS($U$1:U551),$R$2:$S$918,2,FALSE),"")</f>
        <v>Pharmacy: Home Infusion Therapy Pharmacy-3336H0001X</v>
      </c>
    </row>
    <row r="553" spans="1:21" x14ac:dyDescent="0.3">
      <c r="A553" s="21" t="s">
        <v>1631</v>
      </c>
      <c r="B553" s="21" t="str">
        <f>Table1[[#This Row],[Code]]&amp;" "&amp;Table1[[#This Row],[Portico_Specialty]]</f>
        <v>3336I0012X Pharmacy: Institutional Pharmacy</v>
      </c>
      <c r="C553" s="21" t="str">
        <f>CLEAN(Table1[[#This Row],[Code]])</f>
        <v>3336I0012X</v>
      </c>
      <c r="D553" s="1" t="s">
        <v>1632</v>
      </c>
      <c r="E553" s="1"/>
      <c r="F553" s="1" t="s">
        <v>2587</v>
      </c>
      <c r="G553" s="4" t="s">
        <v>2593</v>
      </c>
      <c r="H553" s="1" t="s">
        <v>2693</v>
      </c>
      <c r="I553" s="1"/>
      <c r="J553" s="1" t="s">
        <v>2693</v>
      </c>
      <c r="K553" s="1" t="s">
        <v>2672</v>
      </c>
      <c r="L553" s="1" t="s">
        <v>2693</v>
      </c>
      <c r="M553" s="1" t="s">
        <v>2693</v>
      </c>
      <c r="N553" s="1" t="s">
        <v>2694</v>
      </c>
      <c r="O553" s="1" t="s">
        <v>2672</v>
      </c>
      <c r="P553" s="9"/>
      <c r="R553" s="16">
        <f ca="1">IF(ISNUMBER(SEARCH(INDIRECT(CELL("address")),S553)),MAX($R$1:R552)+1,0)</f>
        <v>552</v>
      </c>
      <c r="S553" s="18" t="str">
        <f>Table1[[#This Row],[Portico_Specialty]]&amp;"-"&amp;Table1[[#This Row],[Code]]</f>
        <v>Pharmacy: Institutional Pharmacy-3336I0012X</v>
      </c>
      <c r="U553" s="16" t="str">
        <f ca="1">IFERROR(VLOOKUP(ROWS($U$1:U552),$R$2:$S$918,2,FALSE),"")</f>
        <v>Pharmacy: Institutional Pharmacy-3336I0012X</v>
      </c>
    </row>
    <row r="554" spans="1:21" x14ac:dyDescent="0.3">
      <c r="A554" s="21" t="s">
        <v>1633</v>
      </c>
      <c r="B554" s="21" t="str">
        <f>Table1[[#This Row],[Code]]&amp;" "&amp;Table1[[#This Row],[Portico_Specialty]]</f>
        <v>3336L0003X Pharmacy: Long Term Care Pharmacy</v>
      </c>
      <c r="C554" s="21" t="str">
        <f>CLEAN(Table1[[#This Row],[Code]])</f>
        <v>3336L0003X</v>
      </c>
      <c r="D554" s="1" t="s">
        <v>1634</v>
      </c>
      <c r="E554" s="1"/>
      <c r="F554" s="1" t="s">
        <v>2587</v>
      </c>
      <c r="G554" s="4" t="s">
        <v>2593</v>
      </c>
      <c r="H554" s="1" t="s">
        <v>2693</v>
      </c>
      <c r="I554" s="1"/>
      <c r="J554" s="1" t="s">
        <v>2693</v>
      </c>
      <c r="K554" s="1" t="s">
        <v>2672</v>
      </c>
      <c r="L554" s="1" t="s">
        <v>2693</v>
      </c>
      <c r="M554" s="1" t="s">
        <v>2693</v>
      </c>
      <c r="N554" s="1" t="s">
        <v>2694</v>
      </c>
      <c r="O554" s="1" t="s">
        <v>2672</v>
      </c>
      <c r="P554" s="9"/>
      <c r="R554" s="16">
        <f ca="1">IF(ISNUMBER(SEARCH(INDIRECT(CELL("address")),S554)),MAX($R$1:R553)+1,0)</f>
        <v>553</v>
      </c>
      <c r="S554" s="18" t="str">
        <f>Table1[[#This Row],[Portico_Specialty]]&amp;"-"&amp;Table1[[#This Row],[Code]]</f>
        <v>Pharmacy: Long Term Care Pharmacy-3336L0003X</v>
      </c>
      <c r="U554" s="16" t="str">
        <f ca="1">IFERROR(VLOOKUP(ROWS($U$1:U553),$R$2:$S$918,2,FALSE),"")</f>
        <v>Pharmacy: Long Term Care Pharmacy-3336L0003X</v>
      </c>
    </row>
    <row r="555" spans="1:21" x14ac:dyDescent="0.3">
      <c r="A555" s="21" t="s">
        <v>1635</v>
      </c>
      <c r="B555" s="21" t="str">
        <f>Table1[[#This Row],[Code]]&amp;" "&amp;Table1[[#This Row],[Portico_Specialty]]</f>
        <v>3336M0002X Pharmacy: Mail Order Pharmacy</v>
      </c>
      <c r="C555" s="21" t="str">
        <f>CLEAN(Table1[[#This Row],[Code]])</f>
        <v>3336M0002X</v>
      </c>
      <c r="D555" s="1" t="s">
        <v>1636</v>
      </c>
      <c r="E555" s="1"/>
      <c r="F555" s="1" t="s">
        <v>2587</v>
      </c>
      <c r="G555" s="4" t="s">
        <v>2593</v>
      </c>
      <c r="H555" s="1" t="s">
        <v>2693</v>
      </c>
      <c r="I555" s="1"/>
      <c r="J555" s="1" t="s">
        <v>2693</v>
      </c>
      <c r="K555" s="1" t="s">
        <v>2672</v>
      </c>
      <c r="L555" s="1" t="s">
        <v>2693</v>
      </c>
      <c r="M555" s="1" t="s">
        <v>2693</v>
      </c>
      <c r="N555" s="1" t="s">
        <v>2694</v>
      </c>
      <c r="O555" s="1" t="s">
        <v>2672</v>
      </c>
      <c r="P555" s="9"/>
      <c r="R555" s="16">
        <f ca="1">IF(ISNUMBER(SEARCH(INDIRECT(CELL("address")),S555)),MAX($R$1:R554)+1,0)</f>
        <v>554</v>
      </c>
      <c r="S555" s="18" t="str">
        <f>Table1[[#This Row],[Portico_Specialty]]&amp;"-"&amp;Table1[[#This Row],[Code]]</f>
        <v>Pharmacy: Mail Order Pharmacy-3336M0002X</v>
      </c>
      <c r="U555" s="16" t="str">
        <f ca="1">IFERROR(VLOOKUP(ROWS($U$1:U554),$R$2:$S$918,2,FALSE),"")</f>
        <v>Pharmacy: Mail Order Pharmacy-3336M0002X</v>
      </c>
    </row>
    <row r="556" spans="1:21" ht="30.75" x14ac:dyDescent="0.3">
      <c r="A556" s="21" t="s">
        <v>1637</v>
      </c>
      <c r="B556" s="21" t="str">
        <f>Table1[[#This Row],[Code]]&amp;" "&amp;Table1[[#This Row],[Portico_Specialty]]</f>
        <v>3336M0003X Pharmacy: Managed Care Organization Pharmacy</v>
      </c>
      <c r="C556" s="21" t="str">
        <f>CLEAN(Table1[[#This Row],[Code]])</f>
        <v>3336M0003X</v>
      </c>
      <c r="D556" s="1" t="s">
        <v>1638</v>
      </c>
      <c r="E556" s="1"/>
      <c r="F556" s="1" t="s">
        <v>2587</v>
      </c>
      <c r="G556" s="4" t="s">
        <v>2593</v>
      </c>
      <c r="H556" s="1" t="s">
        <v>2693</v>
      </c>
      <c r="I556" s="1"/>
      <c r="J556" s="1" t="s">
        <v>2693</v>
      </c>
      <c r="K556" s="1" t="s">
        <v>2672</v>
      </c>
      <c r="L556" s="1" t="s">
        <v>2693</v>
      </c>
      <c r="M556" s="1" t="s">
        <v>2693</v>
      </c>
      <c r="N556" s="1" t="s">
        <v>2694</v>
      </c>
      <c r="O556" s="1" t="s">
        <v>2672</v>
      </c>
      <c r="P556" s="9"/>
      <c r="R556" s="16">
        <f ca="1">IF(ISNUMBER(SEARCH(INDIRECT(CELL("address")),S556)),MAX($R$1:R555)+1,0)</f>
        <v>555</v>
      </c>
      <c r="S556" s="18" t="str">
        <f>Table1[[#This Row],[Portico_Specialty]]&amp;"-"&amp;Table1[[#This Row],[Code]]</f>
        <v>Pharmacy: Managed Care Organization Pharmacy-3336M0003X</v>
      </c>
      <c r="U556" s="16" t="str">
        <f ca="1">IFERROR(VLOOKUP(ROWS($U$1:U555),$R$2:$S$918,2,FALSE),"")</f>
        <v>Pharmacy: Managed Care Organization Pharmacy-3336M0003X</v>
      </c>
    </row>
    <row r="557" spans="1:21" x14ac:dyDescent="0.3">
      <c r="A557" s="21" t="s">
        <v>1639</v>
      </c>
      <c r="B557" s="21" t="str">
        <f>Table1[[#This Row],[Code]]&amp;" "&amp;Table1[[#This Row],[Portico_Specialty]]</f>
        <v>3336N0007X Pharmacy: Nuclear Pharmacy</v>
      </c>
      <c r="C557" s="21" t="str">
        <f>CLEAN(Table1[[#This Row],[Code]])</f>
        <v>3336N0007X</v>
      </c>
      <c r="D557" s="1" t="s">
        <v>1640</v>
      </c>
      <c r="E557" s="1"/>
      <c r="F557" s="1" t="s">
        <v>2587</v>
      </c>
      <c r="G557" s="4" t="s">
        <v>2593</v>
      </c>
      <c r="H557" s="1" t="s">
        <v>2693</v>
      </c>
      <c r="I557" s="1"/>
      <c r="J557" s="1" t="s">
        <v>2693</v>
      </c>
      <c r="K557" s="1" t="s">
        <v>2672</v>
      </c>
      <c r="L557" s="1" t="s">
        <v>2693</v>
      </c>
      <c r="M557" s="1" t="s">
        <v>2693</v>
      </c>
      <c r="N557" s="1" t="s">
        <v>2694</v>
      </c>
      <c r="O557" s="1" t="s">
        <v>2672</v>
      </c>
      <c r="P557" s="9"/>
      <c r="R557" s="16">
        <f ca="1">IF(ISNUMBER(SEARCH(INDIRECT(CELL("address")),S557)),MAX($R$1:R556)+1,0)</f>
        <v>556</v>
      </c>
      <c r="S557" s="18" t="str">
        <f>Table1[[#This Row],[Portico_Specialty]]&amp;"-"&amp;Table1[[#This Row],[Code]]</f>
        <v>Pharmacy: Nuclear Pharmacy-3336N0007X</v>
      </c>
      <c r="U557" s="16" t="str">
        <f ca="1">IFERROR(VLOOKUP(ROWS($U$1:U556),$R$2:$S$918,2,FALSE),"")</f>
        <v>Pharmacy: Nuclear Pharmacy-3336N0007X</v>
      </c>
    </row>
    <row r="558" spans="1:21" x14ac:dyDescent="0.3">
      <c r="A558" s="21" t="s">
        <v>1641</v>
      </c>
      <c r="B558" s="21" t="str">
        <f>Table1[[#This Row],[Code]]&amp;" "&amp;Table1[[#This Row],[Portico_Specialty]]</f>
        <v>3336S0011X Pharmacy: Specialty Pharmacy</v>
      </c>
      <c r="C558" s="21" t="str">
        <f>CLEAN(Table1[[#This Row],[Code]])</f>
        <v>3336S0011X</v>
      </c>
      <c r="D558" s="1" t="s">
        <v>1642</v>
      </c>
      <c r="E558" s="1"/>
      <c r="F558" s="1" t="s">
        <v>2587</v>
      </c>
      <c r="G558" s="4" t="s">
        <v>2593</v>
      </c>
      <c r="H558" s="1" t="s">
        <v>2693</v>
      </c>
      <c r="I558" s="1"/>
      <c r="J558" s="1" t="s">
        <v>2693</v>
      </c>
      <c r="K558" s="1" t="s">
        <v>2672</v>
      </c>
      <c r="L558" s="1" t="s">
        <v>2693</v>
      </c>
      <c r="M558" s="1" t="s">
        <v>2693</v>
      </c>
      <c r="N558" s="1" t="s">
        <v>2694</v>
      </c>
      <c r="O558" s="1" t="s">
        <v>2672</v>
      </c>
      <c r="P558" s="9"/>
      <c r="R558" s="16">
        <f ca="1">IF(ISNUMBER(SEARCH(INDIRECT(CELL("address")),S558)),MAX($R$1:R557)+1,0)</f>
        <v>557</v>
      </c>
      <c r="S558" s="18" t="str">
        <f>Table1[[#This Row],[Portico_Specialty]]&amp;"-"&amp;Table1[[#This Row],[Code]]</f>
        <v>Pharmacy: Specialty Pharmacy-3336S0011X</v>
      </c>
      <c r="U558" s="16" t="str">
        <f ca="1">IFERROR(VLOOKUP(ROWS($U$1:U557),$R$2:$S$918,2,FALSE),"")</f>
        <v>Pharmacy: Specialty Pharmacy-3336S0011X</v>
      </c>
    </row>
    <row r="559" spans="1:21" x14ac:dyDescent="0.3">
      <c r="A559" s="21" t="s">
        <v>545</v>
      </c>
      <c r="B559" s="21" t="str">
        <f>Table1[[#This Row],[Code]]&amp;" "&amp;Table1[[#This Row],[Portico_Specialty]]</f>
        <v>202K00000X Phlebology</v>
      </c>
      <c r="C559" s="21" t="str">
        <f>CLEAN(Table1[[#This Row],[Code]])</f>
        <v>202K00000X</v>
      </c>
      <c r="D559" s="1" t="s">
        <v>546</v>
      </c>
      <c r="E559" s="1"/>
      <c r="F559" s="1" t="s">
        <v>2587</v>
      </c>
      <c r="G559" s="3" t="s">
        <v>2588</v>
      </c>
      <c r="H559" s="1" t="s">
        <v>2615</v>
      </c>
      <c r="I559" s="1"/>
      <c r="J559" s="1" t="s">
        <v>2590</v>
      </c>
      <c r="K559" s="1" t="s">
        <v>2667</v>
      </c>
      <c r="L559" s="1"/>
      <c r="M559" s="1" t="s">
        <v>2615</v>
      </c>
      <c r="N559" s="1"/>
      <c r="O559" s="1" t="s">
        <v>2667</v>
      </c>
      <c r="P559" s="9"/>
      <c r="R559" s="16">
        <f ca="1">IF(ISNUMBER(SEARCH(INDIRECT(CELL("address")),S559)),MAX($R$1:R558)+1,0)</f>
        <v>558</v>
      </c>
      <c r="S559" s="18" t="str">
        <f>Table1[[#This Row],[Portico_Specialty]]&amp;"-"&amp;Table1[[#This Row],[Code]]</f>
        <v>Phlebology-202K00000X</v>
      </c>
      <c r="U559" s="16" t="str">
        <f ca="1">IFERROR(VLOOKUP(ROWS($U$1:U558),$R$2:$S$918,2,FALSE),"")</f>
        <v>Phlebology-202K00000X</v>
      </c>
    </row>
    <row r="560" spans="1:21" x14ac:dyDescent="0.3">
      <c r="A560" s="21" t="s">
        <v>847</v>
      </c>
      <c r="B560" s="21" t="str">
        <f>Table1[[#This Row],[Code]]&amp;" "&amp;Table1[[#This Row],[Portico_Specialty]]</f>
        <v>208100000X Physical Medicine &amp; Rehabilitation</v>
      </c>
      <c r="C560" s="21" t="str">
        <f>CLEAN(Table1[[#This Row],[Code]])</f>
        <v>208100000X</v>
      </c>
      <c r="D560" s="1" t="s">
        <v>848</v>
      </c>
      <c r="E560" s="1"/>
      <c r="F560" s="1" t="s">
        <v>2587</v>
      </c>
      <c r="G560" s="4" t="s">
        <v>2593</v>
      </c>
      <c r="H560" s="1" t="s">
        <v>2601</v>
      </c>
      <c r="I560" s="1"/>
      <c r="J560" s="1" t="s">
        <v>2601</v>
      </c>
      <c r="K560" s="1" t="s">
        <v>2601</v>
      </c>
      <c r="L560" s="1" t="s">
        <v>2601</v>
      </c>
      <c r="M560" s="1" t="s">
        <v>2601</v>
      </c>
      <c r="N560" s="1" t="s">
        <v>2601</v>
      </c>
      <c r="O560" s="1" t="s">
        <v>2601</v>
      </c>
      <c r="P560" s="9"/>
      <c r="R560" s="16">
        <f ca="1">IF(ISNUMBER(SEARCH(INDIRECT(CELL("address")),S560)),MAX($R$1:R559)+1,0)</f>
        <v>559</v>
      </c>
      <c r="S560" s="18" t="str">
        <f>Table1[[#This Row],[Portico_Specialty]]&amp;"-"&amp;Table1[[#This Row],[Code]]</f>
        <v>Physical Medicine &amp; Rehabilitation-208100000X</v>
      </c>
      <c r="U560" s="16" t="str">
        <f ca="1">IFERROR(VLOOKUP(ROWS($U$1:U559),$R$2:$S$918,2,FALSE),"")</f>
        <v>Physical Medicine &amp; Rehabilitation-208100000X</v>
      </c>
    </row>
    <row r="561" spans="1:21" ht="30.75" x14ac:dyDescent="0.3">
      <c r="A561" s="21" t="s">
        <v>857</v>
      </c>
      <c r="B561" s="21" t="str">
        <f>Table1[[#This Row],[Code]]&amp;" "&amp;Table1[[#This Row],[Portico_Specialty]]</f>
        <v>2081P0301X Physical Medicine &amp; Rehabilitation: Brain Injury Medicine</v>
      </c>
      <c r="C561" s="21" t="str">
        <f>CLEAN(Table1[[#This Row],[Code]])</f>
        <v>2081P0301X</v>
      </c>
      <c r="D561" s="1" t="s">
        <v>858</v>
      </c>
      <c r="E561" s="1"/>
      <c r="F561" s="1" t="s">
        <v>2587</v>
      </c>
      <c r="G561" s="4" t="s">
        <v>2593</v>
      </c>
      <c r="H561" s="1"/>
      <c r="I561" s="1"/>
      <c r="J561" s="1" t="s">
        <v>2614</v>
      </c>
      <c r="K561" s="1" t="s">
        <v>2614</v>
      </c>
      <c r="L561" s="1"/>
      <c r="M561" s="1"/>
      <c r="N561" s="1"/>
      <c r="O561" s="1" t="s">
        <v>2614</v>
      </c>
      <c r="P561" s="9"/>
      <c r="R561" s="16">
        <f ca="1">IF(ISNUMBER(SEARCH(INDIRECT(CELL("address")),S561)),MAX($R$1:R560)+1,0)</f>
        <v>560</v>
      </c>
      <c r="S561" s="18" t="str">
        <f>Table1[[#This Row],[Portico_Specialty]]&amp;"-"&amp;Table1[[#This Row],[Code]]</f>
        <v>Physical Medicine &amp; Rehabilitation: Brain Injury Medicine-2081P0301X</v>
      </c>
      <c r="U561" s="16" t="str">
        <f ca="1">IFERROR(VLOOKUP(ROWS($U$1:U560),$R$2:$S$918,2,FALSE),"")</f>
        <v>Physical Medicine &amp; Rehabilitation: Brain Injury Medicine-2081P0301X</v>
      </c>
    </row>
    <row r="562" spans="1:21" ht="30.75" x14ac:dyDescent="0.3">
      <c r="A562" s="21" t="s">
        <v>849</v>
      </c>
      <c r="B562" s="21" t="str">
        <f>Table1[[#This Row],[Code]]&amp;" "&amp;Table1[[#This Row],[Portico_Specialty]]</f>
        <v>2081H0002X Physical Medicine &amp; Rehabilitation: Hospice and Palliative Medicine</v>
      </c>
      <c r="C562" s="21" t="str">
        <f>CLEAN(Table1[[#This Row],[Code]])</f>
        <v>2081H0002X</v>
      </c>
      <c r="D562" s="1" t="s">
        <v>850</v>
      </c>
      <c r="E562" s="1"/>
      <c r="F562" s="1" t="s">
        <v>2587</v>
      </c>
      <c r="G562" s="4" t="s">
        <v>2593</v>
      </c>
      <c r="H562" s="1" t="s">
        <v>2601</v>
      </c>
      <c r="I562" s="1"/>
      <c r="J562" s="1" t="s">
        <v>2601</v>
      </c>
      <c r="K562" s="1" t="s">
        <v>2601</v>
      </c>
      <c r="L562" s="1" t="s">
        <v>2601</v>
      </c>
      <c r="M562" s="1" t="s">
        <v>2601</v>
      </c>
      <c r="N562" s="1" t="s">
        <v>2601</v>
      </c>
      <c r="O562" s="1" t="s">
        <v>2601</v>
      </c>
      <c r="P562" s="9"/>
      <c r="R562" s="16">
        <f ca="1">IF(ISNUMBER(SEARCH(INDIRECT(CELL("address")),S562)),MAX($R$1:R561)+1,0)</f>
        <v>561</v>
      </c>
      <c r="S562" s="18" t="str">
        <f>Table1[[#This Row],[Portico_Specialty]]&amp;"-"&amp;Table1[[#This Row],[Code]]</f>
        <v>Physical Medicine &amp; Rehabilitation: Hospice and Palliative Medicine-2081H0002X</v>
      </c>
      <c r="U562" s="16" t="str">
        <f ca="1">IFERROR(VLOOKUP(ROWS($U$1:U561),$R$2:$S$918,2,FALSE),"")</f>
        <v>Physical Medicine &amp; Rehabilitation: Hospice and Palliative Medicine-2081H0002X</v>
      </c>
    </row>
    <row r="563" spans="1:21" ht="30.75" x14ac:dyDescent="0.3">
      <c r="A563" s="21" t="s">
        <v>851</v>
      </c>
      <c r="B563" s="21" t="str">
        <f>Table1[[#This Row],[Code]]&amp;" "&amp;Table1[[#This Row],[Portico_Specialty]]</f>
        <v>2081N0008X Physical Medicine &amp; Rehabilitation: Neuromuscular Medicine</v>
      </c>
      <c r="C563" s="21" t="str">
        <f>CLEAN(Table1[[#This Row],[Code]])</f>
        <v>2081N0008X</v>
      </c>
      <c r="D563" s="1" t="s">
        <v>852</v>
      </c>
      <c r="E563" s="1"/>
      <c r="F563" s="1" t="s">
        <v>2587</v>
      </c>
      <c r="G563" s="4" t="s">
        <v>2593</v>
      </c>
      <c r="H563" s="1" t="s">
        <v>2601</v>
      </c>
      <c r="I563" s="1"/>
      <c r="J563" s="1" t="s">
        <v>2601</v>
      </c>
      <c r="K563" s="1" t="s">
        <v>2601</v>
      </c>
      <c r="L563" s="1" t="s">
        <v>2601</v>
      </c>
      <c r="M563" s="1" t="s">
        <v>2601</v>
      </c>
      <c r="N563" s="1" t="s">
        <v>2601</v>
      </c>
      <c r="O563" s="1" t="s">
        <v>2601</v>
      </c>
      <c r="P563" s="9"/>
      <c r="R563" s="16">
        <f ca="1">IF(ISNUMBER(SEARCH(INDIRECT(CELL("address")),S563)),MAX($R$1:R562)+1,0)</f>
        <v>562</v>
      </c>
      <c r="S563" s="18" t="str">
        <f>Table1[[#This Row],[Portico_Specialty]]&amp;"-"&amp;Table1[[#This Row],[Code]]</f>
        <v>Physical Medicine &amp; Rehabilitation: Neuromuscular Medicine-2081N0008X</v>
      </c>
      <c r="U563" s="16" t="str">
        <f ca="1">IFERROR(VLOOKUP(ROWS($U$1:U562),$R$2:$S$918,2,FALSE),"")</f>
        <v>Physical Medicine &amp; Rehabilitation: Neuromuscular Medicine-2081N0008X</v>
      </c>
    </row>
    <row r="564" spans="1:21" ht="30.75" x14ac:dyDescent="0.3">
      <c r="A564" s="21" t="s">
        <v>859</v>
      </c>
      <c r="B564" s="21" t="str">
        <f>Table1[[#This Row],[Code]]&amp;" "&amp;Table1[[#This Row],[Portico_Specialty]]</f>
        <v>2081P2900X Physical Medicine &amp; Rehabilitation: Pain Medicine</v>
      </c>
      <c r="C564" s="21" t="str">
        <f>CLEAN(Table1[[#This Row],[Code]])</f>
        <v>2081P2900X</v>
      </c>
      <c r="D564" s="1" t="s">
        <v>860</v>
      </c>
      <c r="E564" s="1"/>
      <c r="F564" s="1" t="s">
        <v>2587</v>
      </c>
      <c r="G564" s="4" t="s">
        <v>2593</v>
      </c>
      <c r="H564" s="1" t="s">
        <v>2601</v>
      </c>
      <c r="I564" s="1"/>
      <c r="J564" s="1" t="s">
        <v>2601</v>
      </c>
      <c r="K564" s="1" t="s">
        <v>2601</v>
      </c>
      <c r="L564" s="1" t="s">
        <v>2601</v>
      </c>
      <c r="M564" s="1" t="s">
        <v>2601</v>
      </c>
      <c r="N564" s="1" t="s">
        <v>2601</v>
      </c>
      <c r="O564" s="1" t="s">
        <v>2601</v>
      </c>
      <c r="P564" s="9"/>
      <c r="R564" s="16">
        <f ca="1">IF(ISNUMBER(SEARCH(INDIRECT(CELL("address")),S564)),MAX($R$1:R563)+1,0)</f>
        <v>563</v>
      </c>
      <c r="S564" s="18" t="str">
        <f>Table1[[#This Row],[Portico_Specialty]]&amp;"-"&amp;Table1[[#This Row],[Code]]</f>
        <v>Physical Medicine &amp; Rehabilitation: Pain Medicine-2081P2900X</v>
      </c>
      <c r="U564" s="16" t="str">
        <f ca="1">IFERROR(VLOOKUP(ROWS($U$1:U563),$R$2:$S$918,2,FALSE),"")</f>
        <v>Physical Medicine &amp; Rehabilitation: Pain Medicine-2081P2900X</v>
      </c>
    </row>
    <row r="565" spans="1:21" ht="30.75" x14ac:dyDescent="0.3">
      <c r="A565" s="21" t="s">
        <v>855</v>
      </c>
      <c r="B565" s="21" t="str">
        <f>Table1[[#This Row],[Code]]&amp;" "&amp;Table1[[#This Row],[Portico_Specialty]]</f>
        <v>2081P0010X Physical Medicine &amp; Rehabilitation: Pediatric Rehabilitation Medicine</v>
      </c>
      <c r="C565" s="21" t="str">
        <f>CLEAN(Table1[[#This Row],[Code]])</f>
        <v>2081P0010X</v>
      </c>
      <c r="D565" s="1" t="s">
        <v>856</v>
      </c>
      <c r="E565" s="1"/>
      <c r="F565" s="1" t="s">
        <v>2587</v>
      </c>
      <c r="G565" s="4" t="s">
        <v>2593</v>
      </c>
      <c r="H565" s="1" t="s">
        <v>2601</v>
      </c>
      <c r="I565" s="1"/>
      <c r="J565" s="1" t="s">
        <v>2601</v>
      </c>
      <c r="K565" s="1" t="s">
        <v>2601</v>
      </c>
      <c r="L565" s="1" t="s">
        <v>2601</v>
      </c>
      <c r="M565" s="1" t="s">
        <v>2601</v>
      </c>
      <c r="N565" s="1" t="s">
        <v>2601</v>
      </c>
      <c r="O565" s="1" t="s">
        <v>2601</v>
      </c>
      <c r="P565" s="9"/>
      <c r="R565" s="16">
        <f ca="1">IF(ISNUMBER(SEARCH(INDIRECT(CELL("address")),S565)),MAX($R$1:R564)+1,0)</f>
        <v>564</v>
      </c>
      <c r="S565" s="18" t="str">
        <f>Table1[[#This Row],[Portico_Specialty]]&amp;"-"&amp;Table1[[#This Row],[Code]]</f>
        <v>Physical Medicine &amp; Rehabilitation: Pediatric Rehabilitation Medicine-2081P0010X</v>
      </c>
      <c r="U565" s="16" t="str">
        <f ca="1">IFERROR(VLOOKUP(ROWS($U$1:U564),$R$2:$S$918,2,FALSE),"")</f>
        <v>Physical Medicine &amp; Rehabilitation: Pediatric Rehabilitation Medicine-2081P0010X</v>
      </c>
    </row>
    <row r="566" spans="1:21" ht="30.75" x14ac:dyDescent="0.3">
      <c r="A566" s="21" t="s">
        <v>853</v>
      </c>
      <c r="B566" s="21" t="str">
        <f>Table1[[#This Row],[Code]]&amp;" "&amp;Table1[[#This Row],[Portico_Specialty]]</f>
        <v>2081P0004X Physical Medicine &amp; Rehabilitation: Spinal Cord Injury Medicine</v>
      </c>
      <c r="C566" s="21" t="str">
        <f>CLEAN(Table1[[#This Row],[Code]])</f>
        <v>2081P0004X</v>
      </c>
      <c r="D566" s="1" t="s">
        <v>854</v>
      </c>
      <c r="E566" s="1"/>
      <c r="F566" s="1" t="s">
        <v>2587</v>
      </c>
      <c r="G566" s="4" t="s">
        <v>2593</v>
      </c>
      <c r="H566" s="1" t="s">
        <v>2601</v>
      </c>
      <c r="I566" s="1"/>
      <c r="J566" s="1" t="s">
        <v>2601</v>
      </c>
      <c r="K566" s="1" t="s">
        <v>2601</v>
      </c>
      <c r="L566" s="1" t="s">
        <v>2601</v>
      </c>
      <c r="M566" s="1" t="s">
        <v>2601</v>
      </c>
      <c r="N566" s="1" t="s">
        <v>2601</v>
      </c>
      <c r="O566" s="1" t="s">
        <v>2601</v>
      </c>
      <c r="P566" s="9"/>
      <c r="R566" s="16">
        <f ca="1">IF(ISNUMBER(SEARCH(INDIRECT(CELL("address")),S566)),MAX($R$1:R565)+1,0)</f>
        <v>565</v>
      </c>
      <c r="S566" s="18" t="str">
        <f>Table1[[#This Row],[Portico_Specialty]]&amp;"-"&amp;Table1[[#This Row],[Code]]</f>
        <v>Physical Medicine &amp; Rehabilitation: Spinal Cord Injury Medicine-2081P0004X</v>
      </c>
      <c r="U566" s="16" t="str">
        <f ca="1">IFERROR(VLOOKUP(ROWS($U$1:U565),$R$2:$S$918,2,FALSE),"")</f>
        <v>Physical Medicine &amp; Rehabilitation: Spinal Cord Injury Medicine-2081P0004X</v>
      </c>
    </row>
    <row r="567" spans="1:21" ht="30.75" x14ac:dyDescent="0.3">
      <c r="A567" s="21" t="s">
        <v>861</v>
      </c>
      <c r="B567" s="21" t="str">
        <f>Table1[[#This Row],[Code]]&amp;" "&amp;Table1[[#This Row],[Portico_Specialty]]</f>
        <v>2081S0010X Physical Medicine &amp; Rehabilitation: Sports Medicine</v>
      </c>
      <c r="C567" s="21" t="str">
        <f>CLEAN(Table1[[#This Row],[Code]])</f>
        <v>2081S0010X</v>
      </c>
      <c r="D567" s="1" t="s">
        <v>862</v>
      </c>
      <c r="E567" s="1"/>
      <c r="F567" s="1" t="s">
        <v>2587</v>
      </c>
      <c r="G567" s="4" t="s">
        <v>2593</v>
      </c>
      <c r="H567" s="1" t="s">
        <v>2601</v>
      </c>
      <c r="I567" s="1"/>
      <c r="J567" s="1" t="s">
        <v>2601</v>
      </c>
      <c r="K567" s="1" t="s">
        <v>2601</v>
      </c>
      <c r="L567" s="1" t="s">
        <v>2601</v>
      </c>
      <c r="M567" s="1" t="s">
        <v>2601</v>
      </c>
      <c r="N567" s="1" t="s">
        <v>2601</v>
      </c>
      <c r="O567" s="1" t="s">
        <v>2601</v>
      </c>
      <c r="P567" s="9"/>
      <c r="R567" s="16">
        <f ca="1">IF(ISNUMBER(SEARCH(INDIRECT(CELL("address")),S567)),MAX($R$1:R566)+1,0)</f>
        <v>566</v>
      </c>
      <c r="S567" s="18" t="str">
        <f>Table1[[#This Row],[Portico_Specialty]]&amp;"-"&amp;Table1[[#This Row],[Code]]</f>
        <v>Physical Medicine &amp; Rehabilitation: Sports Medicine-2081S0010X</v>
      </c>
      <c r="U567" s="16" t="str">
        <f ca="1">IFERROR(VLOOKUP(ROWS($U$1:U566),$R$2:$S$918,2,FALSE),"")</f>
        <v>Physical Medicine &amp; Rehabilitation: Sports Medicine-2081S0010X</v>
      </c>
    </row>
    <row r="568" spans="1:21" x14ac:dyDescent="0.3">
      <c r="A568" s="21" t="s">
        <v>1041</v>
      </c>
      <c r="B568" s="21" t="str">
        <f>Table1[[#This Row],[Code]]&amp;" "&amp;Table1[[#This Row],[Portico_Specialty]]</f>
        <v>225100000X Physical Therapist</v>
      </c>
      <c r="C568" s="21" t="str">
        <f>CLEAN(Table1[[#This Row],[Code]])</f>
        <v>225100000X</v>
      </c>
      <c r="D568" s="1" t="s">
        <v>1042</v>
      </c>
      <c r="E568" s="1"/>
      <c r="F568" s="1" t="s">
        <v>2587</v>
      </c>
      <c r="G568" s="4" t="s">
        <v>2593</v>
      </c>
      <c r="H568" s="1" t="s">
        <v>2600</v>
      </c>
      <c r="I568" s="1"/>
      <c r="J568" s="1" t="s">
        <v>2600</v>
      </c>
      <c r="K568" s="1" t="s">
        <v>2600</v>
      </c>
      <c r="L568" s="1" t="s">
        <v>2600</v>
      </c>
      <c r="M568" s="1" t="s">
        <v>2600</v>
      </c>
      <c r="N568" s="1" t="s">
        <v>2600</v>
      </c>
      <c r="O568" s="1" t="s">
        <v>2600</v>
      </c>
      <c r="P568" s="9"/>
      <c r="R568" s="16">
        <f ca="1">IF(ISNUMBER(SEARCH(INDIRECT(CELL("address")),S568)),MAX($R$1:R567)+1,0)</f>
        <v>567</v>
      </c>
      <c r="S568" s="18" t="str">
        <f>Table1[[#This Row],[Portico_Specialty]]&amp;"-"&amp;Table1[[#This Row],[Code]]</f>
        <v>Physical Therapist-225100000X</v>
      </c>
      <c r="U568" s="16" t="str">
        <f ca="1">IFERROR(VLOOKUP(ROWS($U$1:U567),$R$2:$S$918,2,FALSE),"")</f>
        <v>Physical Therapist-225100000X</v>
      </c>
    </row>
    <row r="569" spans="1:21" x14ac:dyDescent="0.3">
      <c r="A569" s="21" t="s">
        <v>1043</v>
      </c>
      <c r="B569" s="21" t="str">
        <f>Table1[[#This Row],[Code]]&amp;" "&amp;Table1[[#This Row],[Portico_Specialty]]</f>
        <v>2251C2600X Physical Therapist: Cardiopulmonary</v>
      </c>
      <c r="C569" s="21" t="str">
        <f>CLEAN(Table1[[#This Row],[Code]])</f>
        <v>2251C2600X</v>
      </c>
      <c r="D569" s="1" t="s">
        <v>1044</v>
      </c>
      <c r="E569" s="1"/>
      <c r="F569" s="1" t="s">
        <v>2587</v>
      </c>
      <c r="G569" s="4" t="s">
        <v>2593</v>
      </c>
      <c r="H569" s="1" t="s">
        <v>2600</v>
      </c>
      <c r="I569" s="1"/>
      <c r="J569" s="1" t="s">
        <v>2600</v>
      </c>
      <c r="K569" s="1" t="s">
        <v>2600</v>
      </c>
      <c r="L569" s="1" t="s">
        <v>2600</v>
      </c>
      <c r="M569" s="1" t="s">
        <v>2600</v>
      </c>
      <c r="N569" s="1" t="s">
        <v>2600</v>
      </c>
      <c r="O569" s="1" t="s">
        <v>2600</v>
      </c>
      <c r="P569" s="9"/>
      <c r="R569" s="16">
        <f ca="1">IF(ISNUMBER(SEARCH(INDIRECT(CELL("address")),S569)),MAX($R$1:R568)+1,0)</f>
        <v>568</v>
      </c>
      <c r="S569" s="18" t="str">
        <f>Table1[[#This Row],[Portico_Specialty]]&amp;"-"&amp;Table1[[#This Row],[Code]]</f>
        <v>Physical Therapist: Cardiopulmonary-2251C2600X</v>
      </c>
      <c r="U569" s="16" t="str">
        <f ca="1">IFERROR(VLOOKUP(ROWS($U$1:U568),$R$2:$S$918,2,FALSE),"")</f>
        <v>Physical Therapist: Cardiopulmonary-2251C2600X</v>
      </c>
    </row>
    <row r="570" spans="1:21" ht="30.75" x14ac:dyDescent="0.3">
      <c r="A570" s="21" t="s">
        <v>1047</v>
      </c>
      <c r="B570" s="21" t="str">
        <f>Table1[[#This Row],[Code]]&amp;" "&amp;Table1[[#This Row],[Portico_Specialty]]</f>
        <v>2251E1300X Physical Therapist: Electrophysiology, Clinical</v>
      </c>
      <c r="C570" s="21" t="str">
        <f>CLEAN(Table1[[#This Row],[Code]])</f>
        <v>2251E1300X</v>
      </c>
      <c r="D570" s="1" t="s">
        <v>1048</v>
      </c>
      <c r="E570" s="1"/>
      <c r="F570" s="1" t="s">
        <v>2587</v>
      </c>
      <c r="G570" s="4" t="s">
        <v>2593</v>
      </c>
      <c r="H570" s="1" t="s">
        <v>2600</v>
      </c>
      <c r="I570" s="1"/>
      <c r="J570" s="1" t="s">
        <v>2600</v>
      </c>
      <c r="K570" s="1" t="s">
        <v>2600</v>
      </c>
      <c r="L570" s="1" t="s">
        <v>2600</v>
      </c>
      <c r="M570" s="1" t="s">
        <v>2600</v>
      </c>
      <c r="N570" s="1" t="s">
        <v>2600</v>
      </c>
      <c r="O570" s="1" t="s">
        <v>2600</v>
      </c>
      <c r="P570" s="9"/>
      <c r="R570" s="16">
        <f ca="1">IF(ISNUMBER(SEARCH(INDIRECT(CELL("address")),S570)),MAX($R$1:R569)+1,0)</f>
        <v>569</v>
      </c>
      <c r="S570" s="18" t="str">
        <f>Table1[[#This Row],[Portico_Specialty]]&amp;"-"&amp;Table1[[#This Row],[Code]]</f>
        <v>Physical Therapist: Electrophysiology, Clinical-2251E1300X</v>
      </c>
      <c r="U570" s="16" t="str">
        <f ca="1">IFERROR(VLOOKUP(ROWS($U$1:U569),$R$2:$S$918,2,FALSE),"")</f>
        <v>Physical Therapist: Electrophysiology, Clinical-2251E1300X</v>
      </c>
    </row>
    <row r="571" spans="1:21" x14ac:dyDescent="0.3">
      <c r="A571" s="21" t="s">
        <v>1045</v>
      </c>
      <c r="B571" s="21" t="str">
        <f>Table1[[#This Row],[Code]]&amp;" "&amp;Table1[[#This Row],[Portico_Specialty]]</f>
        <v>2251E1200X Physical Therapist: Ergonomics</v>
      </c>
      <c r="C571" s="21" t="str">
        <f>CLEAN(Table1[[#This Row],[Code]])</f>
        <v>2251E1200X</v>
      </c>
      <c r="D571" s="1" t="s">
        <v>1046</v>
      </c>
      <c r="E571" s="1"/>
      <c r="F571" s="1" t="s">
        <v>2587</v>
      </c>
      <c r="G571" s="4" t="s">
        <v>2593</v>
      </c>
      <c r="H571" s="1" t="s">
        <v>2600</v>
      </c>
      <c r="I571" s="1"/>
      <c r="J571" s="1" t="s">
        <v>2600</v>
      </c>
      <c r="K571" s="1" t="s">
        <v>2600</v>
      </c>
      <c r="L571" s="1" t="s">
        <v>2600</v>
      </c>
      <c r="M571" s="1" t="s">
        <v>2600</v>
      </c>
      <c r="N571" s="1" t="s">
        <v>2600</v>
      </c>
      <c r="O571" s="1" t="s">
        <v>2600</v>
      </c>
      <c r="P571" s="9"/>
      <c r="R571" s="16">
        <f ca="1">IF(ISNUMBER(SEARCH(INDIRECT(CELL("address")),S571)),MAX($R$1:R570)+1,0)</f>
        <v>570</v>
      </c>
      <c r="S571" s="18" t="str">
        <f>Table1[[#This Row],[Portico_Specialty]]&amp;"-"&amp;Table1[[#This Row],[Code]]</f>
        <v>Physical Therapist: Ergonomics-2251E1200X</v>
      </c>
      <c r="U571" s="16" t="str">
        <f ca="1">IFERROR(VLOOKUP(ROWS($U$1:U570),$R$2:$S$918,2,FALSE),"")</f>
        <v>Physical Therapist: Ergonomics-2251E1200X</v>
      </c>
    </row>
    <row r="572" spans="1:21" x14ac:dyDescent="0.3">
      <c r="A572" s="21" t="s">
        <v>1049</v>
      </c>
      <c r="B572" s="21" t="str">
        <f>Table1[[#This Row],[Code]]&amp;" "&amp;Table1[[#This Row],[Portico_Specialty]]</f>
        <v>2251G0304X Physical Therapist: Geriatrics</v>
      </c>
      <c r="C572" s="21" t="str">
        <f>CLEAN(Table1[[#This Row],[Code]])</f>
        <v>2251G0304X</v>
      </c>
      <c r="D572" s="1" t="s">
        <v>1050</v>
      </c>
      <c r="E572" s="1"/>
      <c r="F572" s="1" t="s">
        <v>2587</v>
      </c>
      <c r="G572" s="4" t="s">
        <v>2593</v>
      </c>
      <c r="H572" s="1" t="s">
        <v>2600</v>
      </c>
      <c r="I572" s="1"/>
      <c r="J572" s="1" t="s">
        <v>2600</v>
      </c>
      <c r="K572" s="1" t="s">
        <v>2600</v>
      </c>
      <c r="L572" s="1" t="s">
        <v>2600</v>
      </c>
      <c r="M572" s="1" t="s">
        <v>2600</v>
      </c>
      <c r="N572" s="1" t="s">
        <v>2600</v>
      </c>
      <c r="O572" s="1" t="s">
        <v>2600</v>
      </c>
      <c r="P572" s="9"/>
      <c r="R572" s="16">
        <f ca="1">IF(ISNUMBER(SEARCH(INDIRECT(CELL("address")),S572)),MAX($R$1:R571)+1,0)</f>
        <v>571</v>
      </c>
      <c r="S572" s="18" t="str">
        <f>Table1[[#This Row],[Portico_Specialty]]&amp;"-"&amp;Table1[[#This Row],[Code]]</f>
        <v>Physical Therapist: Geriatrics-2251G0304X</v>
      </c>
      <c r="U572" s="16" t="str">
        <f ca="1">IFERROR(VLOOKUP(ROWS($U$1:U571),$R$2:$S$918,2,FALSE),"")</f>
        <v>Physical Therapist: Geriatrics-2251G0304X</v>
      </c>
    </row>
    <row r="573" spans="1:21" x14ac:dyDescent="0.3">
      <c r="A573" s="21" t="s">
        <v>1051</v>
      </c>
      <c r="B573" s="21" t="str">
        <f>Table1[[#This Row],[Code]]&amp;" "&amp;Table1[[#This Row],[Portico_Specialty]]</f>
        <v>2251H1200X Physical Therapist: Hand</v>
      </c>
      <c r="C573" s="21" t="str">
        <f>CLEAN(Table1[[#This Row],[Code]])</f>
        <v>2251H1200X</v>
      </c>
      <c r="D573" s="1" t="s">
        <v>1052</v>
      </c>
      <c r="E573" s="1"/>
      <c r="F573" s="1" t="s">
        <v>2587</v>
      </c>
      <c r="G573" s="4" t="s">
        <v>2593</v>
      </c>
      <c r="H573" s="1" t="s">
        <v>2600</v>
      </c>
      <c r="I573" s="1"/>
      <c r="J573" s="1" t="s">
        <v>2600</v>
      </c>
      <c r="K573" s="1" t="s">
        <v>2600</v>
      </c>
      <c r="L573" s="1" t="s">
        <v>2600</v>
      </c>
      <c r="M573" s="1" t="s">
        <v>2600</v>
      </c>
      <c r="N573" s="1" t="s">
        <v>2600</v>
      </c>
      <c r="O573" s="1" t="s">
        <v>2600</v>
      </c>
      <c r="P573" s="9"/>
      <c r="R573" s="16">
        <f ca="1">IF(ISNUMBER(SEARCH(INDIRECT(CELL("address")),S573)),MAX($R$1:R572)+1,0)</f>
        <v>572</v>
      </c>
      <c r="S573" s="18" t="str">
        <f>Table1[[#This Row],[Portico_Specialty]]&amp;"-"&amp;Table1[[#This Row],[Code]]</f>
        <v>Physical Therapist: Hand-2251H1200X</v>
      </c>
      <c r="U573" s="16" t="str">
        <f ca="1">IFERROR(VLOOKUP(ROWS($U$1:U572),$R$2:$S$918,2,FALSE),"")</f>
        <v>Physical Therapist: Hand-2251H1200X</v>
      </c>
    </row>
    <row r="574" spans="1:21" x14ac:dyDescent="0.3">
      <c r="A574" s="21" t="s">
        <v>1053</v>
      </c>
      <c r="B574" s="21" t="str">
        <f>Table1[[#This Row],[Code]]&amp;" "&amp;Table1[[#This Row],[Portico_Specialty]]</f>
        <v>2251H1300X Physical Therapist: Human Factors</v>
      </c>
      <c r="C574" s="21" t="str">
        <f>CLEAN(Table1[[#This Row],[Code]])</f>
        <v>2251H1300X</v>
      </c>
      <c r="D574" s="1" t="s">
        <v>1054</v>
      </c>
      <c r="E574" s="1"/>
      <c r="F574" s="1" t="s">
        <v>2587</v>
      </c>
      <c r="G574" s="4" t="s">
        <v>2593</v>
      </c>
      <c r="H574" s="1" t="s">
        <v>2600</v>
      </c>
      <c r="I574" s="1"/>
      <c r="J574" s="1" t="s">
        <v>2600</v>
      </c>
      <c r="K574" s="1" t="s">
        <v>2600</v>
      </c>
      <c r="L574" s="1" t="s">
        <v>2600</v>
      </c>
      <c r="M574" s="1" t="s">
        <v>2600</v>
      </c>
      <c r="N574" s="1" t="s">
        <v>2600</v>
      </c>
      <c r="O574" s="1" t="s">
        <v>2600</v>
      </c>
      <c r="P574" s="9"/>
      <c r="R574" s="16">
        <f ca="1">IF(ISNUMBER(SEARCH(INDIRECT(CELL("address")),S574)),MAX($R$1:R573)+1,0)</f>
        <v>573</v>
      </c>
      <c r="S574" s="18" t="str">
        <f>Table1[[#This Row],[Portico_Specialty]]&amp;"-"&amp;Table1[[#This Row],[Code]]</f>
        <v>Physical Therapist: Human Factors-2251H1300X</v>
      </c>
      <c r="U574" s="16" t="str">
        <f ca="1">IFERROR(VLOOKUP(ROWS($U$1:U573),$R$2:$S$918,2,FALSE),"")</f>
        <v>Physical Therapist: Human Factors-2251H1300X</v>
      </c>
    </row>
    <row r="575" spans="1:21" x14ac:dyDescent="0.3">
      <c r="A575" s="21" t="s">
        <v>1055</v>
      </c>
      <c r="B575" s="21" t="str">
        <f>Table1[[#This Row],[Code]]&amp;" "&amp;Table1[[#This Row],[Portico_Specialty]]</f>
        <v>2251N0400X Physical Therapist: Neurology</v>
      </c>
      <c r="C575" s="21" t="str">
        <f>CLEAN(Table1[[#This Row],[Code]])</f>
        <v>2251N0400X</v>
      </c>
      <c r="D575" s="1" t="s">
        <v>1056</v>
      </c>
      <c r="E575" s="1"/>
      <c r="F575" s="1" t="s">
        <v>2587</v>
      </c>
      <c r="G575" s="4" t="s">
        <v>2593</v>
      </c>
      <c r="H575" s="1" t="s">
        <v>2600</v>
      </c>
      <c r="I575" s="1"/>
      <c r="J575" s="1" t="s">
        <v>2600</v>
      </c>
      <c r="K575" s="1" t="s">
        <v>2600</v>
      </c>
      <c r="L575" s="1" t="s">
        <v>2600</v>
      </c>
      <c r="M575" s="1" t="s">
        <v>2600</v>
      </c>
      <c r="N575" s="1" t="s">
        <v>2701</v>
      </c>
      <c r="O575" s="1" t="s">
        <v>2600</v>
      </c>
      <c r="P575" s="9"/>
      <c r="R575" s="16">
        <f ca="1">IF(ISNUMBER(SEARCH(INDIRECT(CELL("address")),S575)),MAX($R$1:R574)+1,0)</f>
        <v>574</v>
      </c>
      <c r="S575" s="18" t="str">
        <f>Table1[[#This Row],[Portico_Specialty]]&amp;"-"&amp;Table1[[#This Row],[Code]]</f>
        <v>Physical Therapist: Neurology-2251N0400X</v>
      </c>
      <c r="U575" s="16" t="str">
        <f ca="1">IFERROR(VLOOKUP(ROWS($U$1:U574),$R$2:$S$918,2,FALSE),"")</f>
        <v>Physical Therapist: Neurology-2251N0400X</v>
      </c>
    </row>
    <row r="576" spans="1:21" x14ac:dyDescent="0.3">
      <c r="A576" s="21" t="s">
        <v>1061</v>
      </c>
      <c r="B576" s="21" t="str">
        <f>Table1[[#This Row],[Code]]&amp;" "&amp;Table1[[#This Row],[Portico_Specialty]]</f>
        <v>2251X0800X Physical Therapist: Orthopedic</v>
      </c>
      <c r="C576" s="21" t="str">
        <f>CLEAN(Table1[[#This Row],[Code]])</f>
        <v>2251X0800X</v>
      </c>
      <c r="D576" s="1" t="s">
        <v>1062</v>
      </c>
      <c r="E576" s="1"/>
      <c r="F576" s="1" t="s">
        <v>2587</v>
      </c>
      <c r="G576" s="4" t="s">
        <v>2593</v>
      </c>
      <c r="H576" s="1" t="s">
        <v>2600</v>
      </c>
      <c r="I576" s="1"/>
      <c r="J576" s="1" t="s">
        <v>2600</v>
      </c>
      <c r="K576" s="1" t="s">
        <v>2600</v>
      </c>
      <c r="L576" s="1" t="s">
        <v>2600</v>
      </c>
      <c r="M576" s="1" t="s">
        <v>2600</v>
      </c>
      <c r="N576" s="1" t="s">
        <v>2823</v>
      </c>
      <c r="O576" s="1" t="s">
        <v>2600</v>
      </c>
      <c r="P576" s="9"/>
      <c r="R576" s="16">
        <f ca="1">IF(ISNUMBER(SEARCH(INDIRECT(CELL("address")),S576)),MAX($R$1:R575)+1,0)</f>
        <v>575</v>
      </c>
      <c r="S576" s="18" t="str">
        <f>Table1[[#This Row],[Portico_Specialty]]&amp;"-"&amp;Table1[[#This Row],[Code]]</f>
        <v>Physical Therapist: Orthopedic-2251X0800X</v>
      </c>
      <c r="U576" s="16" t="str">
        <f ca="1">IFERROR(VLOOKUP(ROWS($U$1:U575),$R$2:$S$918,2,FALSE),"")</f>
        <v>Physical Therapist: Orthopedic-2251X0800X</v>
      </c>
    </row>
    <row r="577" spans="1:21" x14ac:dyDescent="0.3">
      <c r="A577" s="21" t="s">
        <v>1057</v>
      </c>
      <c r="B577" s="21" t="str">
        <f>Table1[[#This Row],[Code]]&amp;" "&amp;Table1[[#This Row],[Portico_Specialty]]</f>
        <v>2251P0200X Physical Therapist: Pediatrics</v>
      </c>
      <c r="C577" s="21" t="str">
        <f>CLEAN(Table1[[#This Row],[Code]])</f>
        <v>2251P0200X</v>
      </c>
      <c r="D577" s="1" t="s">
        <v>1058</v>
      </c>
      <c r="E577" s="1"/>
      <c r="F577" s="1" t="s">
        <v>2587</v>
      </c>
      <c r="G577" s="4" t="s">
        <v>2593</v>
      </c>
      <c r="H577" s="1" t="s">
        <v>2600</v>
      </c>
      <c r="I577" s="1"/>
      <c r="J577" s="1" t="s">
        <v>2600</v>
      </c>
      <c r="K577" s="1" t="s">
        <v>2600</v>
      </c>
      <c r="L577" s="1" t="s">
        <v>2600</v>
      </c>
      <c r="M577" s="1" t="s">
        <v>2600</v>
      </c>
      <c r="N577" s="1" t="s">
        <v>2600</v>
      </c>
      <c r="O577" s="1" t="s">
        <v>2600</v>
      </c>
      <c r="P577" s="9"/>
      <c r="R577" s="16">
        <f ca="1">IF(ISNUMBER(SEARCH(INDIRECT(CELL("address")),S577)),MAX($R$1:R576)+1,0)</f>
        <v>576</v>
      </c>
      <c r="S577" s="18" t="str">
        <f>Table1[[#This Row],[Portico_Specialty]]&amp;"-"&amp;Table1[[#This Row],[Code]]</f>
        <v>Physical Therapist: Pediatrics-2251P0200X</v>
      </c>
      <c r="U577" s="16" t="str">
        <f ca="1">IFERROR(VLOOKUP(ROWS($U$1:U576),$R$2:$S$918,2,FALSE),"")</f>
        <v>Physical Therapist: Pediatrics-2251P0200X</v>
      </c>
    </row>
    <row r="578" spans="1:21" x14ac:dyDescent="0.3">
      <c r="A578" s="21" t="s">
        <v>1059</v>
      </c>
      <c r="B578" s="21" t="str">
        <f>Table1[[#This Row],[Code]]&amp;" "&amp;Table1[[#This Row],[Portico_Specialty]]</f>
        <v>2251S0007X Physical Therapist: Sports</v>
      </c>
      <c r="C578" s="21" t="str">
        <f>CLEAN(Table1[[#This Row],[Code]])</f>
        <v>2251S0007X</v>
      </c>
      <c r="D578" s="1" t="s">
        <v>1060</v>
      </c>
      <c r="E578" s="1"/>
      <c r="F578" s="1" t="s">
        <v>2587</v>
      </c>
      <c r="G578" s="4" t="s">
        <v>2593</v>
      </c>
      <c r="H578" s="1" t="s">
        <v>2600</v>
      </c>
      <c r="I578" s="1"/>
      <c r="J578" s="1" t="s">
        <v>2600</v>
      </c>
      <c r="K578" s="1" t="s">
        <v>2600</v>
      </c>
      <c r="L578" s="1" t="s">
        <v>2600</v>
      </c>
      <c r="M578" s="1" t="s">
        <v>2600</v>
      </c>
      <c r="N578" s="1" t="s">
        <v>2600</v>
      </c>
      <c r="O578" s="1" t="s">
        <v>2600</v>
      </c>
      <c r="P578" s="9"/>
      <c r="R578" s="16">
        <f ca="1">IF(ISNUMBER(SEARCH(INDIRECT(CELL("address")),S578)),MAX($R$1:R577)+1,0)</f>
        <v>577</v>
      </c>
      <c r="S578" s="18" t="str">
        <f>Table1[[#This Row],[Portico_Specialty]]&amp;"-"&amp;Table1[[#This Row],[Code]]</f>
        <v>Physical Therapist: Sports-2251S0007X</v>
      </c>
      <c r="U578" s="16" t="str">
        <f ca="1">IFERROR(VLOOKUP(ROWS($U$1:U577),$R$2:$S$918,2,FALSE),"")</f>
        <v>Physical Therapist: Sports-2251S0007X</v>
      </c>
    </row>
    <row r="579" spans="1:21" x14ac:dyDescent="0.3">
      <c r="A579" s="21" t="s">
        <v>1063</v>
      </c>
      <c r="B579" s="21" t="str">
        <f>Table1[[#This Row],[Code]]&amp;" "&amp;Table1[[#This Row],[Portico_Specialty]]</f>
        <v>225200000X Physical Therapy Assistant</v>
      </c>
      <c r="C579" s="21" t="str">
        <f>CLEAN(Table1[[#This Row],[Code]])</f>
        <v>225200000X</v>
      </c>
      <c r="D579" s="1" t="s">
        <v>1064</v>
      </c>
      <c r="E579" s="1"/>
      <c r="F579" s="1" t="s">
        <v>2587</v>
      </c>
      <c r="G579" s="3" t="s">
        <v>2588</v>
      </c>
      <c r="H579" s="1" t="s">
        <v>2600</v>
      </c>
      <c r="I579" s="1"/>
      <c r="J579" s="1" t="s">
        <v>2590</v>
      </c>
      <c r="K579" s="1" t="s">
        <v>2600</v>
      </c>
      <c r="L579" s="1" t="s">
        <v>2600</v>
      </c>
      <c r="M579" s="1" t="s">
        <v>2600</v>
      </c>
      <c r="N579" s="1"/>
      <c r="O579" s="1" t="s">
        <v>2600</v>
      </c>
      <c r="P579" s="9"/>
      <c r="R579" s="16">
        <f ca="1">IF(ISNUMBER(SEARCH(INDIRECT(CELL("address")),S579)),MAX($R$1:R578)+1,0)</f>
        <v>578</v>
      </c>
      <c r="S579" s="18" t="str">
        <f>Table1[[#This Row],[Portico_Specialty]]&amp;"-"&amp;Table1[[#This Row],[Code]]</f>
        <v>Physical Therapy Assistant-225200000X</v>
      </c>
      <c r="U579" s="16" t="str">
        <f ca="1">IFERROR(VLOOKUP(ROWS($U$1:U578),$R$2:$S$918,2,FALSE),"")</f>
        <v>Physical Therapy Assistant-225200000X</v>
      </c>
    </row>
    <row r="580" spans="1:21" x14ac:dyDescent="0.3">
      <c r="A580" s="21" t="s">
        <v>1685</v>
      </c>
      <c r="B580" s="21" t="str">
        <f>Table1[[#This Row],[Code]]&amp;" "&amp;Table1[[#This Row],[Portico_Specialty]]</f>
        <v>363A00000X Physician Assistant</v>
      </c>
      <c r="C580" s="21" t="str">
        <f>CLEAN(Table1[[#This Row],[Code]])</f>
        <v>363A00000X</v>
      </c>
      <c r="D580" s="1" t="s">
        <v>1686</v>
      </c>
      <c r="E580" s="1"/>
      <c r="F580" s="4" t="s">
        <v>2619</v>
      </c>
      <c r="G580" s="4" t="s">
        <v>2593</v>
      </c>
      <c r="H580" s="1" t="s">
        <v>2792</v>
      </c>
      <c r="I580" s="1"/>
      <c r="J580" s="1" t="s">
        <v>2792</v>
      </c>
      <c r="K580" s="1" t="s">
        <v>2792</v>
      </c>
      <c r="L580" s="1" t="s">
        <v>2792</v>
      </c>
      <c r="M580" s="1" t="s">
        <v>2792</v>
      </c>
      <c r="N580" s="1" t="s">
        <v>2792</v>
      </c>
      <c r="O580" s="1" t="s">
        <v>2792</v>
      </c>
      <c r="P580" s="9"/>
      <c r="R580" s="16">
        <f ca="1">IF(ISNUMBER(SEARCH(INDIRECT(CELL("address")),S580)),MAX($R$1:R579)+1,0)</f>
        <v>579</v>
      </c>
      <c r="S580" s="18" t="str">
        <f>Table1[[#This Row],[Portico_Specialty]]&amp;"-"&amp;Table1[[#This Row],[Code]]</f>
        <v>Physician Assistant-363A00000X</v>
      </c>
      <c r="U580" s="16" t="str">
        <f ca="1">IFERROR(VLOOKUP(ROWS($U$1:U579),$R$2:$S$918,2,FALSE),"")</f>
        <v>Physician Assistant-363A00000X</v>
      </c>
    </row>
    <row r="581" spans="1:21" x14ac:dyDescent="0.3">
      <c r="A581" s="21" t="s">
        <v>2616</v>
      </c>
      <c r="B581" s="21" t="str">
        <f>Table1[[#This Row],[Code]]&amp;" "&amp;Table1[[#This Row],[Portico_Specialty]]</f>
        <v>AltSpec1 Physician Assistant Dual 399</v>
      </c>
      <c r="C581" s="21" t="str">
        <f>CLEAN(Table1[[#This Row],[Code]])</f>
        <v>AltSpec1</v>
      </c>
      <c r="D581" s="1" t="s">
        <v>2824</v>
      </c>
      <c r="E581" s="1"/>
      <c r="F581" s="1" t="s">
        <v>2587</v>
      </c>
      <c r="G581" s="3" t="s">
        <v>2588</v>
      </c>
      <c r="H581" s="1"/>
      <c r="I581" s="1"/>
      <c r="J581" s="1"/>
      <c r="K581" s="1" t="s">
        <v>2825</v>
      </c>
      <c r="L581" s="1"/>
      <c r="M581" s="1"/>
      <c r="N581" s="1"/>
      <c r="O581" s="1"/>
      <c r="P581" s="9"/>
      <c r="R581" s="16">
        <f ca="1">IF(ISNUMBER(SEARCH(INDIRECT(CELL("address")),S581)),MAX($R$1:R580)+1,0)</f>
        <v>580</v>
      </c>
      <c r="S581" s="18" t="str">
        <f>Table1[[#This Row],[Portico_Specialty]]&amp;"-"&amp;Table1[[#This Row],[Code]]</f>
        <v>Physician Assistant Dual 399-AltSpec1</v>
      </c>
      <c r="U581" s="16" t="str">
        <f ca="1">IFERROR(VLOOKUP(ROWS($U$1:U580),$R$2:$S$918,2,FALSE),"")</f>
        <v>Physician Assistant Dual 399-AltSpec1</v>
      </c>
    </row>
    <row r="582" spans="1:21" x14ac:dyDescent="0.3">
      <c r="A582" s="21" t="s">
        <v>2616</v>
      </c>
      <c r="B582" s="21" t="str">
        <f>Table1[[#This Row],[Code]]&amp;" "&amp;Table1[[#This Row],[Portico_Specialty]]</f>
        <v>AltSpec1 Physician Assistant Dual 699</v>
      </c>
      <c r="C582" s="21" t="str">
        <f>CLEAN(Table1[[#This Row],[Code]])</f>
        <v>AltSpec1</v>
      </c>
      <c r="D582" s="1" t="s">
        <v>2826</v>
      </c>
      <c r="E582" s="1"/>
      <c r="F582" s="1" t="s">
        <v>2587</v>
      </c>
      <c r="G582" s="3" t="s">
        <v>2588</v>
      </c>
      <c r="H582" s="1"/>
      <c r="I582" s="1"/>
      <c r="J582" s="1"/>
      <c r="K582" s="1" t="s">
        <v>2827</v>
      </c>
      <c r="L582" s="1"/>
      <c r="M582" s="1"/>
      <c r="N582" s="1"/>
      <c r="O582" s="1"/>
      <c r="P582" s="9"/>
      <c r="R582" s="16">
        <f ca="1">IF(ISNUMBER(SEARCH(INDIRECT(CELL("address")),S582)),MAX($R$1:R581)+1,0)</f>
        <v>581</v>
      </c>
      <c r="S582" s="18" t="str">
        <f>Table1[[#This Row],[Portico_Specialty]]&amp;"-"&amp;Table1[[#This Row],[Code]]</f>
        <v>Physician Assistant Dual 699-AltSpec1</v>
      </c>
      <c r="U582" s="16" t="str">
        <f ca="1">IFERROR(VLOOKUP(ROWS($U$1:U581),$R$2:$S$918,2,FALSE),"")</f>
        <v>Physician Assistant Dual 699-AltSpec1</v>
      </c>
    </row>
    <row r="583" spans="1:21" x14ac:dyDescent="0.3">
      <c r="A583" s="21" t="s">
        <v>1687</v>
      </c>
      <c r="B583" s="21" t="str">
        <f>Table1[[#This Row],[Code]]&amp;" "&amp;Table1[[#This Row],[Portico_Specialty]]</f>
        <v>363AM0700X Physician Assistant: Medical</v>
      </c>
      <c r="C583" s="21" t="str">
        <f>CLEAN(Table1[[#This Row],[Code]])</f>
        <v>363AM0700X</v>
      </c>
      <c r="D583" s="1" t="s">
        <v>1688</v>
      </c>
      <c r="E583" s="1"/>
      <c r="F583" s="1" t="s">
        <v>2587</v>
      </c>
      <c r="G583" s="4" t="s">
        <v>2593</v>
      </c>
      <c r="H583" s="1" t="s">
        <v>2792</v>
      </c>
      <c r="I583" s="1"/>
      <c r="J583" s="1" t="s">
        <v>2792</v>
      </c>
      <c r="K583" s="1" t="s">
        <v>2792</v>
      </c>
      <c r="L583" s="1" t="s">
        <v>2792</v>
      </c>
      <c r="M583" s="1" t="s">
        <v>2792</v>
      </c>
      <c r="N583" s="1" t="s">
        <v>2792</v>
      </c>
      <c r="O583" s="1" t="s">
        <v>2792</v>
      </c>
      <c r="P583" s="9"/>
      <c r="R583" s="16">
        <f ca="1">IF(ISNUMBER(SEARCH(INDIRECT(CELL("address")),S583)),MAX($R$1:R582)+1,0)</f>
        <v>582</v>
      </c>
      <c r="S583" s="18" t="str">
        <f>Table1[[#This Row],[Portico_Specialty]]&amp;"-"&amp;Table1[[#This Row],[Code]]</f>
        <v>Physician Assistant: Medical-363AM0700X</v>
      </c>
      <c r="U583" s="16" t="str">
        <f ca="1">IFERROR(VLOOKUP(ROWS($U$1:U582),$R$2:$S$918,2,FALSE),"")</f>
        <v>Physician Assistant: Medical-363AM0700X</v>
      </c>
    </row>
    <row r="584" spans="1:21" x14ac:dyDescent="0.3">
      <c r="A584" s="21" t="s">
        <v>1689</v>
      </c>
      <c r="B584" s="21" t="str">
        <f>Table1[[#This Row],[Code]]&amp;" "&amp;Table1[[#This Row],[Portico_Specialty]]</f>
        <v>363AS0400X Physician Assistant: Surgical</v>
      </c>
      <c r="C584" s="21" t="str">
        <f>CLEAN(Table1[[#This Row],[Code]])</f>
        <v>363AS0400X</v>
      </c>
      <c r="D584" s="1" t="s">
        <v>1690</v>
      </c>
      <c r="E584" s="1"/>
      <c r="F584" s="1" t="s">
        <v>2587</v>
      </c>
      <c r="G584" s="4" t="s">
        <v>2593</v>
      </c>
      <c r="H584" s="1" t="s">
        <v>2792</v>
      </c>
      <c r="I584" s="1"/>
      <c r="J584" s="1" t="s">
        <v>2792</v>
      </c>
      <c r="K584" s="1" t="s">
        <v>2792</v>
      </c>
      <c r="L584" s="1" t="s">
        <v>2792</v>
      </c>
      <c r="M584" s="1" t="s">
        <v>2792</v>
      </c>
      <c r="N584" s="1" t="s">
        <v>2792</v>
      </c>
      <c r="O584" s="1" t="s">
        <v>2792</v>
      </c>
      <c r="P584" s="9"/>
      <c r="R584" s="16">
        <f ca="1">IF(ISNUMBER(SEARCH(INDIRECT(CELL("address")),S584)),MAX($R$1:R583)+1,0)</f>
        <v>583</v>
      </c>
      <c r="S584" s="18" t="str">
        <f>Table1[[#This Row],[Portico_Specialty]]&amp;"-"&amp;Table1[[#This Row],[Code]]</f>
        <v>Physician Assistant: Surgical-363AS0400X</v>
      </c>
      <c r="U584" s="16" t="str">
        <f ca="1">IFERROR(VLOOKUP(ROWS($U$1:U583),$R$2:$S$918,2,FALSE),"")</f>
        <v>Physician Assistant: Surgical-363AS0400X</v>
      </c>
    </row>
    <row r="585" spans="1:21" x14ac:dyDescent="0.3">
      <c r="A585" s="21" t="s">
        <v>1537</v>
      </c>
      <c r="B585" s="21" t="str">
        <f>Table1[[#This Row],[Code]]&amp;" "&amp;Table1[[#This Row],[Portico_Specialty]]</f>
        <v>293D00000X Physiological Laboratory</v>
      </c>
      <c r="C585" s="21" t="str">
        <f>CLEAN(Table1[[#This Row],[Code]])</f>
        <v>293D00000X</v>
      </c>
      <c r="D585" s="1" t="s">
        <v>1538</v>
      </c>
      <c r="E585" s="1"/>
      <c r="F585" s="1" t="s">
        <v>2587</v>
      </c>
      <c r="G585" s="4" t="s">
        <v>2593</v>
      </c>
      <c r="H585" s="1" t="s">
        <v>2667</v>
      </c>
      <c r="I585" s="1"/>
      <c r="J585" s="1" t="s">
        <v>2667</v>
      </c>
      <c r="K585" s="1" t="s">
        <v>2667</v>
      </c>
      <c r="L585" s="1" t="s">
        <v>2667</v>
      </c>
      <c r="M585" s="1" t="s">
        <v>2667</v>
      </c>
      <c r="N585" s="1" t="s">
        <v>2713</v>
      </c>
      <c r="O585" s="1" t="s">
        <v>2667</v>
      </c>
      <c r="P585" s="9"/>
      <c r="R585" s="16">
        <f ca="1">IF(ISNUMBER(SEARCH(INDIRECT(CELL("address")),S585)),MAX($R$1:R584)+1,0)</f>
        <v>584</v>
      </c>
      <c r="S585" s="18" t="str">
        <f>Table1[[#This Row],[Portico_Specialty]]&amp;"-"&amp;Table1[[#This Row],[Code]]</f>
        <v>Physiological Laboratory-293D00000X</v>
      </c>
      <c r="U585" s="16" t="str">
        <f ca="1">IFERROR(VLOOKUP(ROWS($U$1:U584),$R$2:$S$918,2,FALSE),"")</f>
        <v>Physiological Laboratory-293D00000X</v>
      </c>
    </row>
    <row r="586" spans="1:21" x14ac:dyDescent="0.3">
      <c r="A586" s="21" t="s">
        <v>863</v>
      </c>
      <c r="B586" s="21" t="str">
        <f>Table1[[#This Row],[Code]]&amp;" "&amp;Table1[[#This Row],[Portico_Specialty]]</f>
        <v>208200000X Plastic Surgery</v>
      </c>
      <c r="C586" s="21" t="str">
        <f>CLEAN(Table1[[#This Row],[Code]])</f>
        <v>208200000X</v>
      </c>
      <c r="D586" s="1" t="s">
        <v>864</v>
      </c>
      <c r="E586" s="1"/>
      <c r="F586" s="1" t="s">
        <v>2587</v>
      </c>
      <c r="G586" s="4" t="s">
        <v>2593</v>
      </c>
      <c r="H586" s="1" t="s">
        <v>2712</v>
      </c>
      <c r="I586" s="1"/>
      <c r="J586" s="1" t="s">
        <v>2712</v>
      </c>
      <c r="K586" s="1" t="s">
        <v>2712</v>
      </c>
      <c r="L586" s="1" t="s">
        <v>2712</v>
      </c>
      <c r="M586" s="1" t="s">
        <v>2712</v>
      </c>
      <c r="N586" s="1" t="s">
        <v>2712</v>
      </c>
      <c r="O586" s="1" t="s">
        <v>2712</v>
      </c>
      <c r="P586" s="9"/>
      <c r="R586" s="16">
        <f ca="1">IF(ISNUMBER(SEARCH(INDIRECT(CELL("address")),S586)),MAX($R$1:R585)+1,0)</f>
        <v>585</v>
      </c>
      <c r="S586" s="18" t="str">
        <f>Table1[[#This Row],[Portico_Specialty]]&amp;"-"&amp;Table1[[#This Row],[Code]]</f>
        <v>Plastic Surgery-208200000X</v>
      </c>
      <c r="U586" s="16" t="str">
        <f ca="1">IFERROR(VLOOKUP(ROWS($U$1:U585),$R$2:$S$918,2,FALSE),"")</f>
        <v>Plastic Surgery-208200000X</v>
      </c>
    </row>
    <row r="587" spans="1:21" ht="30.75" x14ac:dyDescent="0.3">
      <c r="A587" s="21" t="s">
        <v>865</v>
      </c>
      <c r="B587" s="21" t="str">
        <f>Table1[[#This Row],[Code]]&amp;" "&amp;Table1[[#This Row],[Portico_Specialty]]</f>
        <v>2082S0099X Plastic Surgery: Plastic Surgery Within the Head and Neck</v>
      </c>
      <c r="C587" s="21" t="str">
        <f>CLEAN(Table1[[#This Row],[Code]])</f>
        <v>2082S0099X</v>
      </c>
      <c r="D587" s="1" t="s">
        <v>866</v>
      </c>
      <c r="E587" s="1"/>
      <c r="F587" s="1" t="s">
        <v>2587</v>
      </c>
      <c r="G587" s="4" t="s">
        <v>2593</v>
      </c>
      <c r="H587" s="1" t="s">
        <v>2712</v>
      </c>
      <c r="I587" s="1"/>
      <c r="J587" s="1" t="s">
        <v>2712</v>
      </c>
      <c r="K587" s="1" t="s">
        <v>2712</v>
      </c>
      <c r="L587" s="1" t="s">
        <v>2712</v>
      </c>
      <c r="M587" s="1" t="s">
        <v>2712</v>
      </c>
      <c r="N587" s="1" t="s">
        <v>2712</v>
      </c>
      <c r="O587" s="1" t="s">
        <v>2712</v>
      </c>
      <c r="P587" s="9"/>
      <c r="R587" s="16">
        <f ca="1">IF(ISNUMBER(SEARCH(INDIRECT(CELL("address")),S587)),MAX($R$1:R586)+1,0)</f>
        <v>586</v>
      </c>
      <c r="S587" s="18" t="str">
        <f>Table1[[#This Row],[Portico_Specialty]]&amp;"-"&amp;Table1[[#This Row],[Code]]</f>
        <v>Plastic Surgery: Plastic Surgery Within the Head and Neck-2082S0099X</v>
      </c>
      <c r="U587" s="16" t="str">
        <f ca="1">IFERROR(VLOOKUP(ROWS($U$1:U586),$R$2:$S$918,2,FALSE),"")</f>
        <v>Plastic Surgery: Plastic Surgery Within the Head and Neck-2082S0099X</v>
      </c>
    </row>
    <row r="588" spans="1:21" x14ac:dyDescent="0.3">
      <c r="A588" s="21" t="s">
        <v>867</v>
      </c>
      <c r="B588" s="21" t="str">
        <f>Table1[[#This Row],[Code]]&amp;" "&amp;Table1[[#This Row],[Portico_Specialty]]</f>
        <v>2082S0105X Plastic Surgery: Surgery of the Hand</v>
      </c>
      <c r="C588" s="21" t="str">
        <f>CLEAN(Table1[[#This Row],[Code]])</f>
        <v>2082S0105X</v>
      </c>
      <c r="D588" s="1" t="s">
        <v>868</v>
      </c>
      <c r="E588" s="1"/>
      <c r="F588" s="1" t="s">
        <v>2587</v>
      </c>
      <c r="G588" s="4" t="s">
        <v>2593</v>
      </c>
      <c r="H588" s="1" t="s">
        <v>2809</v>
      </c>
      <c r="I588" s="1"/>
      <c r="J588" s="1" t="s">
        <v>2712</v>
      </c>
      <c r="K588" s="1" t="s">
        <v>2712</v>
      </c>
      <c r="L588" s="1" t="s">
        <v>2712</v>
      </c>
      <c r="M588" s="1" t="s">
        <v>2712</v>
      </c>
      <c r="N588" s="1" t="s">
        <v>2809</v>
      </c>
      <c r="O588" s="1" t="s">
        <v>2712</v>
      </c>
      <c r="P588" s="9"/>
      <c r="R588" s="16">
        <f ca="1">IF(ISNUMBER(SEARCH(INDIRECT(CELL("address")),S588)),MAX($R$1:R587)+1,0)</f>
        <v>587</v>
      </c>
      <c r="S588" s="18" t="str">
        <f>Table1[[#This Row],[Portico_Specialty]]&amp;"-"&amp;Table1[[#This Row],[Code]]</f>
        <v>Plastic Surgery: Surgery of the Hand-2082S0105X</v>
      </c>
      <c r="U588" s="16" t="str">
        <f ca="1">IFERROR(VLOOKUP(ROWS($U$1:U587),$R$2:$S$918,2,FALSE),"")</f>
        <v>Plastic Surgery: Surgery of the Hand-2082S0105X</v>
      </c>
    </row>
    <row r="589" spans="1:21" x14ac:dyDescent="0.3">
      <c r="A589" s="21" t="s">
        <v>999</v>
      </c>
      <c r="B589" s="21" t="str">
        <f>Table1[[#This Row],[Code]]&amp;" "&amp;Table1[[#This Row],[Portico_Specialty]]</f>
        <v>213E00000X Podiatrist</v>
      </c>
      <c r="C589" s="21" t="str">
        <f>CLEAN(Table1[[#This Row],[Code]])</f>
        <v>213E00000X</v>
      </c>
      <c r="D589" s="1" t="s">
        <v>1000</v>
      </c>
      <c r="E589" s="1"/>
      <c r="F589" s="1" t="s">
        <v>2587</v>
      </c>
      <c r="G589" s="4" t="s">
        <v>2593</v>
      </c>
      <c r="H589" s="1" t="s">
        <v>2609</v>
      </c>
      <c r="I589" s="1"/>
      <c r="J589" s="1" t="s">
        <v>2609</v>
      </c>
      <c r="K589" s="1" t="s">
        <v>2609</v>
      </c>
      <c r="L589" s="1" t="s">
        <v>2609</v>
      </c>
      <c r="M589" s="1" t="s">
        <v>2609</v>
      </c>
      <c r="N589" s="1" t="s">
        <v>2609</v>
      </c>
      <c r="O589" s="1" t="s">
        <v>2609</v>
      </c>
      <c r="P589" s="9"/>
      <c r="R589" s="16">
        <f ca="1">IF(ISNUMBER(SEARCH(INDIRECT(CELL("address")),S589)),MAX($R$1:R588)+1,0)</f>
        <v>588</v>
      </c>
      <c r="S589" s="18" t="str">
        <f>Table1[[#This Row],[Portico_Specialty]]&amp;"-"&amp;Table1[[#This Row],[Code]]</f>
        <v>Podiatrist-213E00000X</v>
      </c>
      <c r="U589" s="16" t="str">
        <f ca="1">IFERROR(VLOOKUP(ROWS($U$1:U588),$R$2:$S$918,2,FALSE),"")</f>
        <v>Podiatrist-213E00000X</v>
      </c>
    </row>
    <row r="590" spans="1:21" x14ac:dyDescent="0.3">
      <c r="A590" s="21" t="s">
        <v>1011</v>
      </c>
      <c r="B590" s="21" t="str">
        <f>Table1[[#This Row],[Code]]&amp;" "&amp;Table1[[#This Row],[Portico_Specialty]]</f>
        <v>213ES0103X Podiatrist: Foot &amp; Ankle Surgery</v>
      </c>
      <c r="C590" s="21" t="str">
        <f>CLEAN(Table1[[#This Row],[Code]])</f>
        <v>213ES0103X</v>
      </c>
      <c r="D590" s="1" t="s">
        <v>1012</v>
      </c>
      <c r="E590" s="1"/>
      <c r="F590" s="1" t="s">
        <v>2587</v>
      </c>
      <c r="G590" s="4" t="s">
        <v>2593</v>
      </c>
      <c r="H590" s="1" t="s">
        <v>2609</v>
      </c>
      <c r="I590" s="1"/>
      <c r="J590" s="1" t="s">
        <v>2609</v>
      </c>
      <c r="K590" s="1" t="s">
        <v>2609</v>
      </c>
      <c r="L590" s="1" t="s">
        <v>2609</v>
      </c>
      <c r="M590" s="1" t="s">
        <v>2609</v>
      </c>
      <c r="N590" s="1" t="s">
        <v>2609</v>
      </c>
      <c r="O590" s="1" t="s">
        <v>2609</v>
      </c>
      <c r="P590" s="9"/>
      <c r="R590" s="16">
        <f ca="1">IF(ISNUMBER(SEARCH(INDIRECT(CELL("address")),S590)),MAX($R$1:R589)+1,0)</f>
        <v>589</v>
      </c>
      <c r="S590" s="18" t="str">
        <f>Table1[[#This Row],[Portico_Specialty]]&amp;"-"&amp;Table1[[#This Row],[Code]]</f>
        <v>Podiatrist: Foot &amp; Ankle Surgery-213ES0103X</v>
      </c>
      <c r="U590" s="16" t="str">
        <f ca="1">IFERROR(VLOOKUP(ROWS($U$1:U589),$R$2:$S$918,2,FALSE),"")</f>
        <v>Podiatrist: Foot &amp; Ankle Surgery-213ES0103X</v>
      </c>
    </row>
    <row r="591" spans="1:21" x14ac:dyDescent="0.3">
      <c r="A591" s="21" t="s">
        <v>1013</v>
      </c>
      <c r="B591" s="21" t="str">
        <f>Table1[[#This Row],[Code]]&amp;" "&amp;Table1[[#This Row],[Portico_Specialty]]</f>
        <v>213ES0131X Podiatrist: Foot Surgery</v>
      </c>
      <c r="C591" s="21" t="str">
        <f>CLEAN(Table1[[#This Row],[Code]])</f>
        <v>213ES0131X</v>
      </c>
      <c r="D591" s="1" t="s">
        <v>1014</v>
      </c>
      <c r="E591" s="1"/>
      <c r="F591" s="1" t="s">
        <v>2587</v>
      </c>
      <c r="G591" s="4" t="s">
        <v>2593</v>
      </c>
      <c r="H591" s="1" t="s">
        <v>2609</v>
      </c>
      <c r="I591" s="1"/>
      <c r="J591" s="1" t="s">
        <v>2609</v>
      </c>
      <c r="K591" s="1" t="s">
        <v>2609</v>
      </c>
      <c r="L591" s="1" t="s">
        <v>2609</v>
      </c>
      <c r="M591" s="1" t="s">
        <v>2609</v>
      </c>
      <c r="N591" s="1" t="s">
        <v>2609</v>
      </c>
      <c r="O591" s="1" t="s">
        <v>2609</v>
      </c>
      <c r="P591" s="9"/>
      <c r="R591" s="16">
        <f ca="1">IF(ISNUMBER(SEARCH(INDIRECT(CELL("address")),S591)),MAX($R$1:R590)+1,0)</f>
        <v>590</v>
      </c>
      <c r="S591" s="18" t="str">
        <f>Table1[[#This Row],[Portico_Specialty]]&amp;"-"&amp;Table1[[#This Row],[Code]]</f>
        <v>Podiatrist: Foot Surgery-213ES0131X</v>
      </c>
      <c r="U591" s="16" t="str">
        <f ca="1">IFERROR(VLOOKUP(ROWS($U$1:U590),$R$2:$S$918,2,FALSE),"")</f>
        <v>Podiatrist: Foot Surgery-213ES0131X</v>
      </c>
    </row>
    <row r="592" spans="1:21" x14ac:dyDescent="0.3">
      <c r="A592" s="21" t="s">
        <v>1001</v>
      </c>
      <c r="B592" s="21" t="str">
        <f>Table1[[#This Row],[Code]]&amp;" "&amp;Table1[[#This Row],[Portico_Specialty]]</f>
        <v>213EG0000X Podiatrist: General Practice</v>
      </c>
      <c r="C592" s="21" t="str">
        <f>CLEAN(Table1[[#This Row],[Code]])</f>
        <v>213EG0000X</v>
      </c>
      <c r="D592" s="1" t="s">
        <v>1002</v>
      </c>
      <c r="E592" s="1"/>
      <c r="F592" s="1" t="s">
        <v>2587</v>
      </c>
      <c r="G592" s="4" t="s">
        <v>2593</v>
      </c>
      <c r="H592" s="1" t="s">
        <v>2609</v>
      </c>
      <c r="I592" s="1"/>
      <c r="J592" s="1" t="s">
        <v>2609</v>
      </c>
      <c r="K592" s="1" t="s">
        <v>2609</v>
      </c>
      <c r="L592" s="1" t="s">
        <v>2609</v>
      </c>
      <c r="M592" s="1" t="s">
        <v>2609</v>
      </c>
      <c r="N592" s="1" t="s">
        <v>2609</v>
      </c>
      <c r="O592" s="1" t="s">
        <v>2609</v>
      </c>
      <c r="P592" s="9"/>
      <c r="R592" s="16">
        <f ca="1">IF(ISNUMBER(SEARCH(INDIRECT(CELL("address")),S592)),MAX($R$1:R591)+1,0)</f>
        <v>591</v>
      </c>
      <c r="S592" s="18" t="str">
        <f>Table1[[#This Row],[Portico_Specialty]]&amp;"-"&amp;Table1[[#This Row],[Code]]</f>
        <v>Podiatrist: General Practice-213EG0000X</v>
      </c>
      <c r="U592" s="16" t="str">
        <f ca="1">IFERROR(VLOOKUP(ROWS($U$1:U591),$R$2:$S$918,2,FALSE),"")</f>
        <v>Podiatrist: General Practice-213EG0000X</v>
      </c>
    </row>
    <row r="593" spans="1:21" x14ac:dyDescent="0.3">
      <c r="A593" s="21" t="s">
        <v>1005</v>
      </c>
      <c r="B593" s="21" t="str">
        <f>Table1[[#This Row],[Code]]&amp;" "&amp;Table1[[#This Row],[Portico_Specialty]]</f>
        <v>213EP1101X Podiatrist: Primary Podiatric Medicine</v>
      </c>
      <c r="C593" s="21" t="str">
        <f>CLEAN(Table1[[#This Row],[Code]])</f>
        <v>213EP1101X</v>
      </c>
      <c r="D593" s="1" t="s">
        <v>1006</v>
      </c>
      <c r="E593" s="1"/>
      <c r="F593" s="1" t="s">
        <v>2587</v>
      </c>
      <c r="G593" s="4" t="s">
        <v>2593</v>
      </c>
      <c r="H593" s="1" t="s">
        <v>2609</v>
      </c>
      <c r="I593" s="1"/>
      <c r="J593" s="1" t="s">
        <v>2609</v>
      </c>
      <c r="K593" s="1" t="s">
        <v>2609</v>
      </c>
      <c r="L593" s="1" t="s">
        <v>2609</v>
      </c>
      <c r="M593" s="1" t="s">
        <v>2609</v>
      </c>
      <c r="N593" s="1" t="s">
        <v>2609</v>
      </c>
      <c r="O593" s="1" t="s">
        <v>2609</v>
      </c>
      <c r="P593" s="9"/>
      <c r="R593" s="16">
        <f ca="1">IF(ISNUMBER(SEARCH(INDIRECT(CELL("address")),S593)),MAX($R$1:R592)+1,0)</f>
        <v>592</v>
      </c>
      <c r="S593" s="18" t="str">
        <f>Table1[[#This Row],[Portico_Specialty]]&amp;"-"&amp;Table1[[#This Row],[Code]]</f>
        <v>Podiatrist: Primary Podiatric Medicine-213EP1101X</v>
      </c>
      <c r="U593" s="16" t="str">
        <f ca="1">IFERROR(VLOOKUP(ROWS($U$1:U592),$R$2:$S$918,2,FALSE),"")</f>
        <v>Podiatrist: Primary Podiatric Medicine-213EP1101X</v>
      </c>
    </row>
    <row r="594" spans="1:21" x14ac:dyDescent="0.3">
      <c r="A594" s="21" t="s">
        <v>1003</v>
      </c>
      <c r="B594" s="21" t="str">
        <f>Table1[[#This Row],[Code]]&amp;" "&amp;Table1[[#This Row],[Portico_Specialty]]</f>
        <v>213EP0504X Podiatrist: Public Medicine</v>
      </c>
      <c r="C594" s="21" t="str">
        <f>CLEAN(Table1[[#This Row],[Code]])</f>
        <v>213EP0504X</v>
      </c>
      <c r="D594" s="1" t="s">
        <v>1004</v>
      </c>
      <c r="E594" s="1"/>
      <c r="F594" s="1" t="s">
        <v>2587</v>
      </c>
      <c r="G594" s="4" t="s">
        <v>2593</v>
      </c>
      <c r="H594" s="1" t="s">
        <v>2609</v>
      </c>
      <c r="I594" s="1"/>
      <c r="J594" s="1" t="s">
        <v>2609</v>
      </c>
      <c r="K594" s="1" t="s">
        <v>2609</v>
      </c>
      <c r="L594" s="1" t="s">
        <v>2609</v>
      </c>
      <c r="M594" s="1" t="s">
        <v>2609</v>
      </c>
      <c r="N594" s="1" t="s">
        <v>2609</v>
      </c>
      <c r="O594" s="1" t="s">
        <v>2609</v>
      </c>
      <c r="P594" s="9"/>
      <c r="R594" s="16">
        <f ca="1">IF(ISNUMBER(SEARCH(INDIRECT(CELL("address")),S594)),MAX($R$1:R593)+1,0)</f>
        <v>593</v>
      </c>
      <c r="S594" s="18" t="str">
        <f>Table1[[#This Row],[Portico_Specialty]]&amp;"-"&amp;Table1[[#This Row],[Code]]</f>
        <v>Podiatrist: Public Medicine-213EP0504X</v>
      </c>
      <c r="U594" s="16" t="str">
        <f ca="1">IFERROR(VLOOKUP(ROWS($U$1:U593),$R$2:$S$918,2,FALSE),"")</f>
        <v>Podiatrist: Public Medicine-213EP0504X</v>
      </c>
    </row>
    <row r="595" spans="1:21" x14ac:dyDescent="0.3">
      <c r="A595" s="21" t="s">
        <v>1007</v>
      </c>
      <c r="B595" s="21" t="str">
        <f>Table1[[#This Row],[Code]]&amp;" "&amp;Table1[[#This Row],[Portico_Specialty]]</f>
        <v>213ER0200X Podiatrist: Radiology</v>
      </c>
      <c r="C595" s="21" t="str">
        <f>CLEAN(Table1[[#This Row],[Code]])</f>
        <v>213ER0200X</v>
      </c>
      <c r="D595" s="1" t="s">
        <v>1008</v>
      </c>
      <c r="E595" s="1"/>
      <c r="F595" s="1" t="s">
        <v>2587</v>
      </c>
      <c r="G595" s="4" t="s">
        <v>2593</v>
      </c>
      <c r="H595" s="1" t="s">
        <v>2609</v>
      </c>
      <c r="I595" s="1"/>
      <c r="J595" s="1" t="s">
        <v>2609</v>
      </c>
      <c r="K595" s="1" t="s">
        <v>2609</v>
      </c>
      <c r="L595" s="1" t="s">
        <v>2609</v>
      </c>
      <c r="M595" s="1" t="s">
        <v>2609</v>
      </c>
      <c r="N595" s="1" t="s">
        <v>2609</v>
      </c>
      <c r="O595" s="1" t="s">
        <v>2609</v>
      </c>
      <c r="P595" s="9"/>
      <c r="R595" s="16">
        <f ca="1">IF(ISNUMBER(SEARCH(INDIRECT(CELL("address")),S595)),MAX($R$1:R594)+1,0)</f>
        <v>594</v>
      </c>
      <c r="S595" s="18" t="str">
        <f>Table1[[#This Row],[Portico_Specialty]]&amp;"-"&amp;Table1[[#This Row],[Code]]</f>
        <v>Podiatrist: Radiology-213ER0200X</v>
      </c>
      <c r="U595" s="16" t="str">
        <f ca="1">IFERROR(VLOOKUP(ROWS($U$1:U594),$R$2:$S$918,2,FALSE),"")</f>
        <v>Podiatrist: Radiology-213ER0200X</v>
      </c>
    </row>
    <row r="596" spans="1:21" x14ac:dyDescent="0.3">
      <c r="A596" s="21" t="s">
        <v>1009</v>
      </c>
      <c r="B596" s="21" t="str">
        <f>Table1[[#This Row],[Code]]&amp;" "&amp;Table1[[#This Row],[Portico_Specialty]]</f>
        <v>213ES0000X Podiatrist: Sports Medicine</v>
      </c>
      <c r="C596" s="21" t="str">
        <f>CLEAN(Table1[[#This Row],[Code]])</f>
        <v>213ES0000X</v>
      </c>
      <c r="D596" s="1" t="s">
        <v>1010</v>
      </c>
      <c r="E596" s="1"/>
      <c r="F596" s="1" t="s">
        <v>2587</v>
      </c>
      <c r="G596" s="4" t="s">
        <v>2593</v>
      </c>
      <c r="H596" s="1" t="s">
        <v>2609</v>
      </c>
      <c r="I596" s="1"/>
      <c r="J596" s="1" t="s">
        <v>2609</v>
      </c>
      <c r="K596" s="1" t="s">
        <v>2609</v>
      </c>
      <c r="L596" s="1" t="s">
        <v>2609</v>
      </c>
      <c r="M596" s="1" t="s">
        <v>2609</v>
      </c>
      <c r="N596" s="1" t="s">
        <v>2609</v>
      </c>
      <c r="O596" s="1" t="s">
        <v>2609</v>
      </c>
      <c r="P596" s="9"/>
      <c r="R596" s="16">
        <f ca="1">IF(ISNUMBER(SEARCH(INDIRECT(CELL("address")),S596)),MAX($R$1:R595)+1,0)</f>
        <v>595</v>
      </c>
      <c r="S596" s="18" t="str">
        <f>Table1[[#This Row],[Portico_Specialty]]&amp;"-"&amp;Table1[[#This Row],[Code]]</f>
        <v>Podiatrist: Sports Medicine-213ES0000X</v>
      </c>
      <c r="U596" s="16" t="str">
        <f ca="1">IFERROR(VLOOKUP(ROWS($U$1:U595),$R$2:$S$918,2,FALSE),"")</f>
        <v>Podiatrist: Sports Medicine-213ES0000X</v>
      </c>
    </row>
    <row r="597" spans="1:21" x14ac:dyDescent="0.3">
      <c r="A597" s="21" t="s">
        <v>135</v>
      </c>
      <c r="B597" s="21" t="str">
        <f>Table1[[#This Row],[Code]]&amp;" "&amp;Table1[[#This Row],[Portico_Specialty]]</f>
        <v>102X00000X Poetry Therapist</v>
      </c>
      <c r="C597" s="21" t="str">
        <f>CLEAN(Table1[[#This Row],[Code]])</f>
        <v>102X00000X</v>
      </c>
      <c r="D597" s="1" t="s">
        <v>136</v>
      </c>
      <c r="E597" s="1"/>
      <c r="F597" s="1" t="s">
        <v>2607</v>
      </c>
      <c r="G597" s="3" t="s">
        <v>2588</v>
      </c>
      <c r="H597" s="1" t="s">
        <v>2615</v>
      </c>
      <c r="I597" s="1"/>
      <c r="J597" s="1" t="s">
        <v>2612</v>
      </c>
      <c r="K597" s="1" t="s">
        <v>2612</v>
      </c>
      <c r="L597" s="1"/>
      <c r="M597" s="1" t="s">
        <v>2612</v>
      </c>
      <c r="N597" s="1"/>
      <c r="O597" s="1" t="s">
        <v>2612</v>
      </c>
      <c r="P597" s="9"/>
      <c r="R597" s="16">
        <f ca="1">IF(ISNUMBER(SEARCH(INDIRECT(CELL("address")),S597)),MAX($R$1:R596)+1,0)</f>
        <v>596</v>
      </c>
      <c r="S597" s="18" t="str">
        <f>Table1[[#This Row],[Portico_Specialty]]&amp;"-"&amp;Table1[[#This Row],[Code]]</f>
        <v>Poetry Therapist-102X00000X</v>
      </c>
      <c r="U597" s="16" t="str">
        <f ca="1">IFERROR(VLOOKUP(ROWS($U$1:U596),$R$2:$S$918,2,FALSE),"")</f>
        <v>Poetry Therapist-102X00000X</v>
      </c>
    </row>
    <row r="598" spans="1:21" x14ac:dyDescent="0.3">
      <c r="A598" s="21" t="s">
        <v>1545</v>
      </c>
      <c r="B598" s="21" t="str">
        <f>Table1[[#This Row],[Code]]&amp;" "&amp;Table1[[#This Row],[Portico_Specialty]]</f>
        <v>305S00000X Point of Service</v>
      </c>
      <c r="C598" s="21" t="str">
        <f>CLEAN(Table1[[#This Row],[Code]])</f>
        <v>305S00000X</v>
      </c>
      <c r="D598" s="1" t="s">
        <v>1546</v>
      </c>
      <c r="E598" s="1"/>
      <c r="F598" s="1" t="s">
        <v>2587</v>
      </c>
      <c r="G598" s="3" t="s">
        <v>2588</v>
      </c>
      <c r="H598" s="1" t="s">
        <v>2590</v>
      </c>
      <c r="I598" s="1"/>
      <c r="J598" s="1" t="s">
        <v>2590</v>
      </c>
      <c r="K598" s="1" t="s">
        <v>2590</v>
      </c>
      <c r="L598" s="1" t="s">
        <v>2590</v>
      </c>
      <c r="M598" s="1" t="s">
        <v>2615</v>
      </c>
      <c r="N598" s="1" t="s">
        <v>2590</v>
      </c>
      <c r="O598" s="1" t="s">
        <v>2590</v>
      </c>
      <c r="P598" s="9"/>
      <c r="R598" s="16">
        <f ca="1">IF(ISNUMBER(SEARCH(INDIRECT(CELL("address")),S598)),MAX($R$1:R597)+1,0)</f>
        <v>597</v>
      </c>
      <c r="S598" s="18" t="str">
        <f>Table1[[#This Row],[Portico_Specialty]]&amp;"-"&amp;Table1[[#This Row],[Code]]</f>
        <v>Point of Service-305S00000X</v>
      </c>
      <c r="U598" s="16" t="str">
        <f ca="1">IFERROR(VLOOKUP(ROWS($U$1:U597),$R$2:$S$918,2,FALSE),"")</f>
        <v>Point of Service-305S00000X</v>
      </c>
    </row>
    <row r="599" spans="1:21" ht="30.75" x14ac:dyDescent="0.3">
      <c r="A599" s="21" t="s">
        <v>1649</v>
      </c>
      <c r="B599" s="21" t="str">
        <f>Table1[[#This Row],[Code]]&amp;" "&amp;Table1[[#This Row],[Portico_Specialty]]</f>
        <v>335V00000X Portable X-ray and/or Other Portable Diagnostic Imaging Supplier</v>
      </c>
      <c r="C599" s="21" t="str">
        <f>CLEAN(Table1[[#This Row],[Code]])</f>
        <v>335V00000X</v>
      </c>
      <c r="D599" s="1" t="s">
        <v>1650</v>
      </c>
      <c r="E599" s="1"/>
      <c r="F599" s="1" t="s">
        <v>2587</v>
      </c>
      <c r="G599" s="4" t="s">
        <v>2593</v>
      </c>
      <c r="H599" s="1" t="s">
        <v>2828</v>
      </c>
      <c r="I599" s="1"/>
      <c r="J599" s="1" t="s">
        <v>2828</v>
      </c>
      <c r="K599" s="1" t="s">
        <v>2828</v>
      </c>
      <c r="L599" s="1" t="s">
        <v>2828</v>
      </c>
      <c r="M599" s="1" t="s">
        <v>2828</v>
      </c>
      <c r="N599" s="1" t="s">
        <v>2828</v>
      </c>
      <c r="O599" s="1" t="s">
        <v>2828</v>
      </c>
      <c r="P599" s="9"/>
      <c r="R599" s="16">
        <f ca="1">IF(ISNUMBER(SEARCH(INDIRECT(CELL("address")),S599)),MAX($R$1:R598)+1,0)</f>
        <v>598</v>
      </c>
      <c r="S599" s="18" t="str">
        <f>Table1[[#This Row],[Portico_Specialty]]&amp;"-"&amp;Table1[[#This Row],[Code]]</f>
        <v>Portable X-ray and/or Other Portable Diagnostic Imaging Supplier-335V00000X</v>
      </c>
      <c r="U599" s="16" t="str">
        <f ca="1">IFERROR(VLOOKUP(ROWS($U$1:U598),$R$2:$S$918,2,FALSE),"")</f>
        <v>Portable X-ray and/or Other Portable Diagnostic Imaging Supplier-335V00000X</v>
      </c>
    </row>
    <row r="600" spans="1:21" x14ac:dyDescent="0.3">
      <c r="A600" s="21" t="s">
        <v>1543</v>
      </c>
      <c r="B600" s="21" t="str">
        <f>Table1[[#This Row],[Code]]&amp;" "&amp;Table1[[#This Row],[Portico_Specialty]]</f>
        <v>305R00000X Preferred Provider Organization</v>
      </c>
      <c r="C600" s="21" t="str">
        <f>CLEAN(Table1[[#This Row],[Code]])</f>
        <v>305R00000X</v>
      </c>
      <c r="D600" s="1" t="s">
        <v>1544</v>
      </c>
      <c r="E600" s="1"/>
      <c r="F600" s="1" t="s">
        <v>2587</v>
      </c>
      <c r="G600" s="3" t="s">
        <v>2588</v>
      </c>
      <c r="H600" s="1" t="s">
        <v>2590</v>
      </c>
      <c r="I600" s="1"/>
      <c r="J600" s="1" t="s">
        <v>2590</v>
      </c>
      <c r="K600" s="1" t="s">
        <v>2703</v>
      </c>
      <c r="L600" s="1" t="s">
        <v>2590</v>
      </c>
      <c r="M600" s="1" t="s">
        <v>2615</v>
      </c>
      <c r="N600" s="1" t="s">
        <v>2590</v>
      </c>
      <c r="O600" s="1" t="s">
        <v>2703</v>
      </c>
      <c r="P600" s="9"/>
      <c r="R600" s="16">
        <f ca="1">IF(ISNUMBER(SEARCH(INDIRECT(CELL("address")),S600)),MAX($R$1:R599)+1,0)</f>
        <v>599</v>
      </c>
      <c r="S600" s="18" t="str">
        <f>Table1[[#This Row],[Portico_Specialty]]&amp;"-"&amp;Table1[[#This Row],[Code]]</f>
        <v>Preferred Provider Organization-305R00000X</v>
      </c>
      <c r="U600" s="16" t="str">
        <f ca="1">IFERROR(VLOOKUP(ROWS($U$1:U599),$R$2:$S$918,2,FALSE),"")</f>
        <v>Preferred Provider Organization-305R00000X</v>
      </c>
    </row>
    <row r="601" spans="1:21" x14ac:dyDescent="0.3">
      <c r="A601" s="24" t="s">
        <v>1839</v>
      </c>
      <c r="B601" s="24" t="str">
        <f>Table1[[#This Row],[Code]]&amp;" "&amp;Table1[[#This Row],[Portico_Specialty]]</f>
        <v>405300000X Prevention Professional</v>
      </c>
      <c r="C601" s="24" t="str">
        <f>CLEAN(Table1[[#This Row],[Code]])</f>
        <v>405300000X</v>
      </c>
      <c r="D601" s="25" t="s">
        <v>1840</v>
      </c>
      <c r="E601" s="25"/>
      <c r="F601" s="25" t="s">
        <v>2607</v>
      </c>
      <c r="G601" s="26" t="s">
        <v>2588</v>
      </c>
      <c r="H601" s="25"/>
      <c r="I601" s="25"/>
      <c r="J601" s="25" t="s">
        <v>2612</v>
      </c>
      <c r="K601" s="25" t="s">
        <v>2612</v>
      </c>
      <c r="L601" s="25"/>
      <c r="M601" s="25"/>
      <c r="N601" s="25"/>
      <c r="O601" s="25" t="s">
        <v>2612</v>
      </c>
      <c r="P601" s="27"/>
      <c r="R601" s="16">
        <f ca="1">IF(ISNUMBER(SEARCH(INDIRECT(CELL("address")),S601)),MAX($R$1:R600)+1,0)</f>
        <v>600</v>
      </c>
      <c r="S601" s="18" t="str">
        <f>Table1[[#This Row],[Portico_Specialty]]&amp;"-"&amp;Table1[[#This Row],[Code]]</f>
        <v>Prevention Professional-405300000X</v>
      </c>
      <c r="U601" s="16" t="str">
        <f ca="1">IFERROR(VLOOKUP(ROWS($U$1:U600),$R$2:$S$918,2,FALSE),"")</f>
        <v>Prevention Professional-405300000X</v>
      </c>
    </row>
    <row r="602" spans="1:21" x14ac:dyDescent="0.3">
      <c r="A602" s="21" t="s">
        <v>869</v>
      </c>
      <c r="B602" s="21" t="str">
        <f>Table1[[#This Row],[Code]]&amp;" "&amp;Table1[[#This Row],[Portico_Specialty]]</f>
        <v>2083A0100X Preventive Medicine: Aerospace Medicine</v>
      </c>
      <c r="C602" s="21" t="str">
        <f>CLEAN(Table1[[#This Row],[Code]])</f>
        <v>2083A0100X</v>
      </c>
      <c r="D602" s="1" t="s">
        <v>870</v>
      </c>
      <c r="E602" s="1"/>
      <c r="F602" s="1" t="s">
        <v>2587</v>
      </c>
      <c r="G602" s="4" t="s">
        <v>2593</v>
      </c>
      <c r="H602" s="1" t="s">
        <v>2829</v>
      </c>
      <c r="I602" s="1"/>
      <c r="J602" s="1" t="s">
        <v>2829</v>
      </c>
      <c r="K602" s="1" t="s">
        <v>2829</v>
      </c>
      <c r="L602" s="1" t="s">
        <v>2829</v>
      </c>
      <c r="M602" s="1" t="s">
        <v>2829</v>
      </c>
      <c r="N602" s="1" t="s">
        <v>2829</v>
      </c>
      <c r="O602" s="1" t="s">
        <v>2829</v>
      </c>
      <c r="P602" s="9"/>
      <c r="R602" s="16">
        <f ca="1">IF(ISNUMBER(SEARCH(INDIRECT(CELL("address")),S602)),MAX($R$1:R601)+1,0)</f>
        <v>601</v>
      </c>
      <c r="S602" s="18" t="str">
        <f>Table1[[#This Row],[Portico_Specialty]]&amp;"-"&amp;Table1[[#This Row],[Code]]</f>
        <v>Preventive Medicine: Aerospace Medicine-2083A0100X</v>
      </c>
      <c r="U602" s="16" t="str">
        <f ca="1">IFERROR(VLOOKUP(ROWS($U$1:U601),$R$2:$S$918,2,FALSE),"")</f>
        <v>Preventive Medicine: Aerospace Medicine-2083A0100X</v>
      </c>
    </row>
    <row r="603" spans="1:21" x14ac:dyDescent="0.3">
      <c r="A603" s="21" t="s">
        <v>875</v>
      </c>
      <c r="B603" s="21" t="str">
        <f>Table1[[#This Row],[Code]]&amp;" "&amp;Table1[[#This Row],[Portico_Specialty]]</f>
        <v>2083C0008X Preventive Medicine: Clinical Informatics</v>
      </c>
      <c r="C603" s="21" t="str">
        <f>CLEAN(Table1[[#This Row],[Code]])</f>
        <v>2083C0008X</v>
      </c>
      <c r="D603" s="1" t="s">
        <v>876</v>
      </c>
      <c r="E603" s="1"/>
      <c r="F603" s="1" t="s">
        <v>2587</v>
      </c>
      <c r="G603" s="3" t="s">
        <v>2588</v>
      </c>
      <c r="H603" s="1"/>
      <c r="I603" s="1"/>
      <c r="J603" s="1" t="s">
        <v>2590</v>
      </c>
      <c r="K603" s="1" t="s">
        <v>2829</v>
      </c>
      <c r="L603" s="1"/>
      <c r="M603" s="1"/>
      <c r="N603" s="1"/>
      <c r="O603" s="1" t="s">
        <v>2829</v>
      </c>
      <c r="P603" s="9"/>
      <c r="R603" s="16">
        <f ca="1">IF(ISNUMBER(SEARCH(INDIRECT(CELL("address")),S603)),MAX($R$1:R602)+1,0)</f>
        <v>602</v>
      </c>
      <c r="S603" s="18" t="str">
        <f>Table1[[#This Row],[Portico_Specialty]]&amp;"-"&amp;Table1[[#This Row],[Code]]</f>
        <v>Preventive Medicine: Clinical Informatics-2083C0008X</v>
      </c>
      <c r="U603" s="16" t="str">
        <f ca="1">IFERROR(VLOOKUP(ROWS($U$1:U602),$R$2:$S$918,2,FALSE),"")</f>
        <v>Preventive Medicine: Clinical Informatics-2083C0008X</v>
      </c>
    </row>
    <row r="604" spans="1:21" x14ac:dyDescent="0.3">
      <c r="A604" s="21" t="s">
        <v>885</v>
      </c>
      <c r="B604" s="21" t="str">
        <f>Table1[[#This Row],[Code]]&amp;" "&amp;Table1[[#This Row],[Portico_Specialty]]</f>
        <v>2083T0002X Preventive Medicine: Medical Toxicology</v>
      </c>
      <c r="C604" s="21" t="str">
        <f>CLEAN(Table1[[#This Row],[Code]])</f>
        <v>2083T0002X</v>
      </c>
      <c r="D604" s="1" t="s">
        <v>886</v>
      </c>
      <c r="E604" s="1"/>
      <c r="F604" s="1" t="s">
        <v>2587</v>
      </c>
      <c r="G604" s="4" t="s">
        <v>2593</v>
      </c>
      <c r="H604" s="1" t="s">
        <v>2829</v>
      </c>
      <c r="I604" s="1"/>
      <c r="J604" s="1" t="s">
        <v>2829</v>
      </c>
      <c r="K604" s="1" t="s">
        <v>2829</v>
      </c>
      <c r="L604" s="1" t="s">
        <v>2829</v>
      </c>
      <c r="M604" s="1" t="s">
        <v>2829</v>
      </c>
      <c r="N604" s="1" t="s">
        <v>2829</v>
      </c>
      <c r="O604" s="1" t="s">
        <v>2829</v>
      </c>
      <c r="P604" s="9"/>
      <c r="R604" s="16">
        <f ca="1">IF(ISNUMBER(SEARCH(INDIRECT(CELL("address")),S604)),MAX($R$1:R603)+1,0)</f>
        <v>603</v>
      </c>
      <c r="S604" s="18" t="str">
        <f>Table1[[#This Row],[Portico_Specialty]]&amp;"-"&amp;Table1[[#This Row],[Code]]</f>
        <v>Preventive Medicine: Medical Toxicology-2083T0002X</v>
      </c>
      <c r="U604" s="16" t="str">
        <f ca="1">IFERROR(VLOOKUP(ROWS($U$1:U603),$R$2:$S$918,2,FALSE),"")</f>
        <v>Preventive Medicine: Medical Toxicology-2083T0002X</v>
      </c>
    </row>
    <row r="605" spans="1:21" x14ac:dyDescent="0.3">
      <c r="A605" s="21" t="s">
        <v>873</v>
      </c>
      <c r="B605" s="21" t="str">
        <f>Table1[[#This Row],[Code]]&amp;" "&amp;Table1[[#This Row],[Portico_Specialty]]</f>
        <v>2083B0002X Preventive Medicine: Obesity Medicine</v>
      </c>
      <c r="C605" s="21" t="str">
        <f>CLEAN(Table1[[#This Row],[Code]])</f>
        <v>2083B0002X</v>
      </c>
      <c r="D605" s="1" t="s">
        <v>874</v>
      </c>
      <c r="E605" s="1"/>
      <c r="F605" s="1" t="s">
        <v>2587</v>
      </c>
      <c r="G605" s="3" t="s">
        <v>2588</v>
      </c>
      <c r="H605" s="1"/>
      <c r="I605" s="1"/>
      <c r="J605" s="1" t="s">
        <v>2829</v>
      </c>
      <c r="K605" s="1" t="s">
        <v>2829</v>
      </c>
      <c r="L605" s="1"/>
      <c r="M605" s="1"/>
      <c r="N605" s="1"/>
      <c r="O605" s="1" t="s">
        <v>2829</v>
      </c>
      <c r="P605" s="9"/>
      <c r="R605" s="16">
        <f ca="1">IF(ISNUMBER(SEARCH(INDIRECT(CELL("address")),S605)),MAX($R$1:R604)+1,0)</f>
        <v>604</v>
      </c>
      <c r="S605" s="18" t="str">
        <f>Table1[[#This Row],[Portico_Specialty]]&amp;"-"&amp;Table1[[#This Row],[Code]]</f>
        <v>Preventive Medicine: Obesity Medicine-2083B0002X</v>
      </c>
      <c r="U605" s="16" t="str">
        <f ca="1">IFERROR(VLOOKUP(ROWS($U$1:U604),$R$2:$S$918,2,FALSE),"")</f>
        <v>Preventive Medicine: Obesity Medicine-2083B0002X</v>
      </c>
    </row>
    <row r="606" spans="1:21" ht="30.75" x14ac:dyDescent="0.3">
      <c r="A606" s="21" t="s">
        <v>887</v>
      </c>
      <c r="B606" s="21" t="str">
        <f>Table1[[#This Row],[Code]]&amp;" "&amp;Table1[[#This Row],[Portico_Specialty]]</f>
        <v>2083X0100X Preventive Medicine: Occupational Medicine</v>
      </c>
      <c r="C606" s="21" t="str">
        <f>CLEAN(Table1[[#This Row],[Code]])</f>
        <v>2083X0100X</v>
      </c>
      <c r="D606" s="1" t="s">
        <v>888</v>
      </c>
      <c r="E606" s="1"/>
      <c r="F606" s="1" t="s">
        <v>2587</v>
      </c>
      <c r="G606" s="4" t="s">
        <v>2593</v>
      </c>
      <c r="H606" s="1" t="s">
        <v>2829</v>
      </c>
      <c r="I606" s="1"/>
      <c r="J606" s="1" t="s">
        <v>2829</v>
      </c>
      <c r="K606" s="1" t="s">
        <v>2829</v>
      </c>
      <c r="L606" s="1" t="s">
        <v>2829</v>
      </c>
      <c r="M606" s="1" t="s">
        <v>2829</v>
      </c>
      <c r="N606" s="1" t="s">
        <v>2829</v>
      </c>
      <c r="O606" s="1" t="s">
        <v>2829</v>
      </c>
      <c r="P606" s="9"/>
      <c r="R606" s="16">
        <f ca="1">IF(ISNUMBER(SEARCH(INDIRECT(CELL("address")),S606)),MAX($R$1:R605)+1,0)</f>
        <v>605</v>
      </c>
      <c r="S606" s="18" t="str">
        <f>Table1[[#This Row],[Portico_Specialty]]&amp;"-"&amp;Table1[[#This Row],[Code]]</f>
        <v>Preventive Medicine: Occupational Medicine-2083X0100X</v>
      </c>
      <c r="U606" s="16" t="str">
        <f ca="1">IFERROR(VLOOKUP(ROWS($U$1:U605),$R$2:$S$918,2,FALSE),"")</f>
        <v>Preventive Medicine: Occupational Medicine-2083X0100X</v>
      </c>
    </row>
    <row r="607" spans="1:21" ht="45.75" x14ac:dyDescent="0.3">
      <c r="A607" s="21" t="s">
        <v>879</v>
      </c>
      <c r="B607" s="21" t="str">
        <f>Table1[[#This Row],[Code]]&amp;" "&amp;Table1[[#This Row],[Portico_Specialty]]</f>
        <v>2083P0500X Preventive Medicine: Preventive Medicine/Occupational Environmental Medicine</v>
      </c>
      <c r="C607" s="21" t="str">
        <f>CLEAN(Table1[[#This Row],[Code]])</f>
        <v>2083P0500X</v>
      </c>
      <c r="D607" s="1" t="s">
        <v>880</v>
      </c>
      <c r="E607" s="1"/>
      <c r="F607" s="1" t="s">
        <v>2587</v>
      </c>
      <c r="G607" s="4" t="s">
        <v>2593</v>
      </c>
      <c r="H607" s="1" t="s">
        <v>2829</v>
      </c>
      <c r="I607" s="1"/>
      <c r="J607" s="1" t="s">
        <v>2829</v>
      </c>
      <c r="K607" s="1" t="s">
        <v>2829</v>
      </c>
      <c r="L607" s="1" t="s">
        <v>2829</v>
      </c>
      <c r="M607" s="1" t="s">
        <v>2829</v>
      </c>
      <c r="N607" s="1" t="s">
        <v>2829</v>
      </c>
      <c r="O607" s="1" t="s">
        <v>2829</v>
      </c>
      <c r="P607" s="9"/>
      <c r="R607" s="16">
        <f ca="1">IF(ISNUMBER(SEARCH(INDIRECT(CELL("address")),S607)),MAX($R$1:R606)+1,0)</f>
        <v>606</v>
      </c>
      <c r="S607" s="18" t="str">
        <f>Table1[[#This Row],[Portico_Specialty]]&amp;"-"&amp;Table1[[#This Row],[Code]]</f>
        <v>Preventive Medicine: Preventive Medicine/Occupational Environmental Medicine-2083P0500X</v>
      </c>
      <c r="U607" s="16" t="str">
        <f ca="1">IFERROR(VLOOKUP(ROWS($U$1:U606),$R$2:$S$918,2,FALSE),"")</f>
        <v>Preventive Medicine: Preventive Medicine/Occupational Environmental Medicine-2083P0500X</v>
      </c>
    </row>
    <row r="608" spans="1:21" ht="30.75" x14ac:dyDescent="0.3">
      <c r="A608" s="21" t="s">
        <v>881</v>
      </c>
      <c r="B608" s="21" t="str">
        <f>Table1[[#This Row],[Code]]&amp;" "&amp;Table1[[#This Row],[Portico_Specialty]]</f>
        <v>2083P0901X Preventive Medicine: Public Health &amp; General Preventive Medicine</v>
      </c>
      <c r="C608" s="21" t="str">
        <f>CLEAN(Table1[[#This Row],[Code]])</f>
        <v>2083P0901X</v>
      </c>
      <c r="D608" s="1" t="s">
        <v>882</v>
      </c>
      <c r="E608" s="1"/>
      <c r="F608" s="1" t="s">
        <v>2587</v>
      </c>
      <c r="G608" s="4" t="s">
        <v>2593</v>
      </c>
      <c r="H608" s="1" t="s">
        <v>2829</v>
      </c>
      <c r="I608" s="1"/>
      <c r="J608" s="1" t="s">
        <v>2829</v>
      </c>
      <c r="K608" s="1" t="s">
        <v>2703</v>
      </c>
      <c r="L608" s="1" t="s">
        <v>2829</v>
      </c>
      <c r="M608" s="1" t="s">
        <v>2829</v>
      </c>
      <c r="N608" s="1" t="s">
        <v>2829</v>
      </c>
      <c r="O608" s="1" t="s">
        <v>2703</v>
      </c>
      <c r="P608" s="9"/>
      <c r="R608" s="16">
        <f ca="1">IF(ISNUMBER(SEARCH(INDIRECT(CELL("address")),S608)),MAX($R$1:R607)+1,0)</f>
        <v>607</v>
      </c>
      <c r="S608" s="18" t="str">
        <f>Table1[[#This Row],[Portico_Specialty]]&amp;"-"&amp;Table1[[#This Row],[Code]]</f>
        <v>Preventive Medicine: Public Health &amp; General Preventive Medicine-2083P0901X</v>
      </c>
      <c r="U608" s="16" t="str">
        <f ca="1">IFERROR(VLOOKUP(ROWS($U$1:U607),$R$2:$S$918,2,FALSE),"")</f>
        <v>Preventive Medicine: Public Health &amp; General Preventive Medicine-2083P0901X</v>
      </c>
    </row>
    <row r="609" spans="1:21" x14ac:dyDescent="0.3">
      <c r="A609" s="21" t="s">
        <v>883</v>
      </c>
      <c r="B609" s="21" t="str">
        <f>Table1[[#This Row],[Code]]&amp;" "&amp;Table1[[#This Row],[Portico_Specialty]]</f>
        <v>2083S0010X Preventive Medicine: Sports Medicine</v>
      </c>
      <c r="C609" s="21" t="str">
        <f>CLEAN(Table1[[#This Row],[Code]])</f>
        <v>2083S0010X</v>
      </c>
      <c r="D609" s="1" t="s">
        <v>884</v>
      </c>
      <c r="E609" s="1"/>
      <c r="F609" s="1" t="s">
        <v>2587</v>
      </c>
      <c r="G609" s="4" t="s">
        <v>2593</v>
      </c>
      <c r="H609" s="1" t="s">
        <v>2829</v>
      </c>
      <c r="I609" s="1"/>
      <c r="J609" s="1" t="s">
        <v>2829</v>
      </c>
      <c r="K609" s="1" t="s">
        <v>2829</v>
      </c>
      <c r="L609" s="1" t="s">
        <v>2829</v>
      </c>
      <c r="M609" s="1" t="s">
        <v>2829</v>
      </c>
      <c r="N609" s="1" t="s">
        <v>2829</v>
      </c>
      <c r="O609" s="1" t="s">
        <v>2829</v>
      </c>
      <c r="P609" s="9"/>
      <c r="R609" s="16">
        <f ca="1">IF(ISNUMBER(SEARCH(INDIRECT(CELL("address")),S609)),MAX($R$1:R608)+1,0)</f>
        <v>608</v>
      </c>
      <c r="S609" s="18" t="str">
        <f>Table1[[#This Row],[Portico_Specialty]]&amp;"-"&amp;Table1[[#This Row],[Code]]</f>
        <v>Preventive Medicine: Sports Medicine-2083S0010X</v>
      </c>
      <c r="U609" s="16" t="str">
        <f ca="1">IFERROR(VLOOKUP(ROWS($U$1:U608),$R$2:$S$918,2,FALSE),"")</f>
        <v>Preventive Medicine: Sports Medicine-2083S0010X</v>
      </c>
    </row>
    <row r="610" spans="1:21" ht="30.75" x14ac:dyDescent="0.3">
      <c r="A610" s="21" t="s">
        <v>877</v>
      </c>
      <c r="B610" s="21" t="str">
        <f>Table1[[#This Row],[Code]]&amp;" "&amp;Table1[[#This Row],[Portico_Specialty]]</f>
        <v>2083P0011X Preventive Medicine: Undersea and Hyperbaric Medicine</v>
      </c>
      <c r="C610" s="21" t="str">
        <f>CLEAN(Table1[[#This Row],[Code]])</f>
        <v>2083P0011X</v>
      </c>
      <c r="D610" s="1" t="s">
        <v>878</v>
      </c>
      <c r="E610" s="1"/>
      <c r="F610" s="1" t="s">
        <v>2587</v>
      </c>
      <c r="G610" s="4" t="s">
        <v>2593</v>
      </c>
      <c r="H610" s="1" t="s">
        <v>2829</v>
      </c>
      <c r="I610" s="1"/>
      <c r="J610" s="1" t="s">
        <v>2829</v>
      </c>
      <c r="K610" s="1" t="s">
        <v>2829</v>
      </c>
      <c r="L610" s="1" t="s">
        <v>2829</v>
      </c>
      <c r="M610" s="1" t="s">
        <v>2829</v>
      </c>
      <c r="N610" s="1" t="s">
        <v>2829</v>
      </c>
      <c r="O610" s="1" t="s">
        <v>2829</v>
      </c>
      <c r="P610" s="9"/>
      <c r="R610" s="16">
        <f ca="1">IF(ISNUMBER(SEARCH(INDIRECT(CELL("address")),S610)),MAX($R$1:R609)+1,0)</f>
        <v>609</v>
      </c>
      <c r="S610" s="18" t="str">
        <f>Table1[[#This Row],[Portico_Specialty]]&amp;"-"&amp;Table1[[#This Row],[Code]]</f>
        <v>Preventive Medicine: Undersea and Hyperbaric Medicine-2083P0011X</v>
      </c>
      <c r="U610" s="16" t="str">
        <f ca="1">IFERROR(VLOOKUP(ROWS($U$1:U609),$R$2:$S$918,2,FALSE),"")</f>
        <v>Preventive Medicine: Undersea and Hyperbaric Medicine-2083P0011X</v>
      </c>
    </row>
    <row r="611" spans="1:21" x14ac:dyDescent="0.3">
      <c r="A611" s="21" t="s">
        <v>1679</v>
      </c>
      <c r="B611" s="21" t="str">
        <f>Table1[[#This Row],[Code]]&amp;" "&amp;Table1[[#This Row],[Portico_Specialty]]</f>
        <v>347C00000X Private Vehicle</v>
      </c>
      <c r="C611" s="21" t="str">
        <f>CLEAN(Table1[[#This Row],[Code]])</f>
        <v>347C00000X</v>
      </c>
      <c r="D611" s="1" t="s">
        <v>1680</v>
      </c>
      <c r="E611" s="1"/>
      <c r="F611" s="1" t="s">
        <v>2587</v>
      </c>
      <c r="G611" s="3" t="s">
        <v>2588</v>
      </c>
      <c r="H611" s="1" t="s">
        <v>2595</v>
      </c>
      <c r="I611" s="1"/>
      <c r="J611" s="1" t="s">
        <v>2595</v>
      </c>
      <c r="K611" s="1" t="s">
        <v>2596</v>
      </c>
      <c r="L611" s="1" t="s">
        <v>2595</v>
      </c>
      <c r="M611" s="1" t="s">
        <v>2595</v>
      </c>
      <c r="N611" s="1"/>
      <c r="O611" s="1" t="s">
        <v>2596</v>
      </c>
      <c r="P611" s="9"/>
      <c r="R611" s="16">
        <f ca="1">IF(ISNUMBER(SEARCH(INDIRECT(CELL("address")),S611)),MAX($R$1:R610)+1,0)</f>
        <v>610</v>
      </c>
      <c r="S611" s="18" t="str">
        <f>Table1[[#This Row],[Portico_Specialty]]&amp;"-"&amp;Table1[[#This Row],[Code]]</f>
        <v>Private Vehicle-347C00000X</v>
      </c>
      <c r="U611" s="16" t="str">
        <f ca="1">IFERROR(VLOOKUP(ROWS($U$1:U610),$R$2:$S$918,2,FALSE),"")</f>
        <v>Private Vehicle-347C00000X</v>
      </c>
    </row>
    <row r="612" spans="1:21" x14ac:dyDescent="0.3">
      <c r="A612" s="21" t="s">
        <v>1643</v>
      </c>
      <c r="B612" s="21" t="str">
        <f>Table1[[#This Row],[Code]]&amp;" "&amp;Table1[[#This Row],[Portico_Specialty]]</f>
        <v>335E00000X Prosthetic/Orthotic Supplier</v>
      </c>
      <c r="C612" s="21" t="str">
        <f>CLEAN(Table1[[#This Row],[Code]])</f>
        <v>335E00000X</v>
      </c>
      <c r="D612" s="1" t="s">
        <v>1644</v>
      </c>
      <c r="E612" s="1"/>
      <c r="F612" s="1" t="s">
        <v>2587</v>
      </c>
      <c r="G612" s="4" t="s">
        <v>2593</v>
      </c>
      <c r="H612" s="1" t="s">
        <v>2810</v>
      </c>
      <c r="I612" s="1"/>
      <c r="J612" s="1" t="s">
        <v>2810</v>
      </c>
      <c r="K612" s="1" t="s">
        <v>2810</v>
      </c>
      <c r="L612" s="1" t="s">
        <v>2810</v>
      </c>
      <c r="M612" s="1" t="s">
        <v>2810</v>
      </c>
      <c r="N612" s="1" t="s">
        <v>2810</v>
      </c>
      <c r="O612" s="1" t="s">
        <v>2810</v>
      </c>
      <c r="P612" s="9"/>
      <c r="R612" s="16">
        <f ca="1">IF(ISNUMBER(SEARCH(INDIRECT(CELL("address")),S612)),MAX($R$1:R611)+1,0)</f>
        <v>611</v>
      </c>
      <c r="S612" s="18" t="str">
        <f>Table1[[#This Row],[Portico_Specialty]]&amp;"-"&amp;Table1[[#This Row],[Code]]</f>
        <v>Prosthetic/Orthotic Supplier-335E00000X</v>
      </c>
      <c r="U612" s="16" t="str">
        <f ca="1">IFERROR(VLOOKUP(ROWS($U$1:U611),$R$2:$S$918,2,FALSE),"")</f>
        <v>Prosthetic/Orthotic Supplier-335E00000X</v>
      </c>
    </row>
    <row r="613" spans="1:21" x14ac:dyDescent="0.3">
      <c r="A613" s="21" t="s">
        <v>1025</v>
      </c>
      <c r="B613" s="21" t="str">
        <f>Table1[[#This Row],[Code]]&amp;" "&amp;Table1[[#This Row],[Portico_Specialty]]</f>
        <v>224P00000X Prosthetist</v>
      </c>
      <c r="C613" s="21" t="str">
        <f>CLEAN(Table1[[#This Row],[Code]])</f>
        <v>224P00000X</v>
      </c>
      <c r="D613" s="1" t="s">
        <v>1026</v>
      </c>
      <c r="E613" s="1"/>
      <c r="F613" s="1" t="s">
        <v>2587</v>
      </c>
      <c r="G613" s="4" t="s">
        <v>2593</v>
      </c>
      <c r="H613" s="1" t="s">
        <v>2830</v>
      </c>
      <c r="I613" s="1"/>
      <c r="J613" s="1" t="s">
        <v>2830</v>
      </c>
      <c r="K613" s="1" t="s">
        <v>2810</v>
      </c>
      <c r="L613" s="1" t="s">
        <v>2830</v>
      </c>
      <c r="M613" s="1" t="s">
        <v>2830</v>
      </c>
      <c r="N613" s="1" t="s">
        <v>2830</v>
      </c>
      <c r="O613" s="1" t="s">
        <v>2810</v>
      </c>
      <c r="P613" s="9"/>
      <c r="R613" s="16">
        <f ca="1">IF(ISNUMBER(SEARCH(INDIRECT(CELL("address")),S613)),MAX($R$1:R612)+1,0)</f>
        <v>612</v>
      </c>
      <c r="S613" s="18" t="str">
        <f>Table1[[#This Row],[Portico_Specialty]]&amp;"-"&amp;Table1[[#This Row],[Code]]</f>
        <v>Prosthetist-224P00000X</v>
      </c>
      <c r="U613" s="16" t="str">
        <f ca="1">IFERROR(VLOOKUP(ROWS($U$1:U612),$R$2:$S$918,2,FALSE),"")</f>
        <v>Prosthetist-224P00000X</v>
      </c>
    </row>
    <row r="614" spans="1:21" x14ac:dyDescent="0.3">
      <c r="A614" s="21" t="s">
        <v>1513</v>
      </c>
      <c r="B614" s="21" t="str">
        <f>Table1[[#This Row],[Code]]&amp;" "&amp;Table1[[#This Row],[Portico_Specialty]]</f>
        <v>283Q00000X Psychiatric Hospital</v>
      </c>
      <c r="C614" s="21" t="str">
        <f>CLEAN(Table1[[#This Row],[Code]])</f>
        <v>283Q00000X</v>
      </c>
      <c r="D614" s="1" t="s">
        <v>1514</v>
      </c>
      <c r="E614" s="1" t="s">
        <v>2647</v>
      </c>
      <c r="F614" s="1" t="s">
        <v>2607</v>
      </c>
      <c r="G614" s="4" t="s">
        <v>2593</v>
      </c>
      <c r="H614" s="1" t="s">
        <v>2642</v>
      </c>
      <c r="I614" s="1"/>
      <c r="J614" s="1" t="s">
        <v>2642</v>
      </c>
      <c r="K614" s="1" t="s">
        <v>2642</v>
      </c>
      <c r="L614" s="1" t="s">
        <v>2642</v>
      </c>
      <c r="M614" s="1" t="s">
        <v>2642</v>
      </c>
      <c r="N614" s="1" t="s">
        <v>2643</v>
      </c>
      <c r="O614" s="1" t="s">
        <v>2642</v>
      </c>
      <c r="P614" s="9"/>
      <c r="R614" s="16">
        <f ca="1">IF(ISNUMBER(SEARCH(INDIRECT(CELL("address")),S614)),MAX($R$1:R613)+1,0)</f>
        <v>613</v>
      </c>
      <c r="S614" s="18" t="str">
        <f>Table1[[#This Row],[Portico_Specialty]]&amp;"-"&amp;Table1[[#This Row],[Code]]</f>
        <v>Psychiatric Hospital-283Q00000X</v>
      </c>
      <c r="U614" s="16" t="str">
        <f ca="1">IFERROR(VLOOKUP(ROWS($U$1:U613),$R$2:$S$918,2,FALSE),"")</f>
        <v>Psychiatric Hospital-283Q00000X</v>
      </c>
    </row>
    <row r="615" spans="1:21" x14ac:dyDescent="0.3">
      <c r="A615" s="21" t="s">
        <v>1583</v>
      </c>
      <c r="B615" s="21" t="str">
        <f>Table1[[#This Row],[Code]]&amp;" "&amp;Table1[[#This Row],[Portico_Specialty]]</f>
        <v>323P00000X Psychiatric Residential Treatment Facility</v>
      </c>
      <c r="C615" s="21" t="str">
        <f>CLEAN(Table1[[#This Row],[Code]])</f>
        <v>323P00000X</v>
      </c>
      <c r="D615" s="1" t="s">
        <v>1584</v>
      </c>
      <c r="E615" s="1" t="s">
        <v>2647</v>
      </c>
      <c r="F615" s="1" t="s">
        <v>2607</v>
      </c>
      <c r="G615" s="3" t="s">
        <v>2588</v>
      </c>
      <c r="H615" s="1" t="s">
        <v>2621</v>
      </c>
      <c r="I615" s="1"/>
      <c r="J615" s="1" t="s">
        <v>2621</v>
      </c>
      <c r="K615" s="1" t="s">
        <v>2621</v>
      </c>
      <c r="L615" s="1" t="s">
        <v>2622</v>
      </c>
      <c r="M615" s="1" t="s">
        <v>2661</v>
      </c>
      <c r="N615" s="1"/>
      <c r="O615" s="1" t="s">
        <v>2621</v>
      </c>
      <c r="P615" s="9"/>
      <c r="R615" s="16">
        <f ca="1">IF(ISNUMBER(SEARCH(INDIRECT(CELL("address")),S615)),MAX($R$1:R614)+1,0)</f>
        <v>614</v>
      </c>
      <c r="S615" s="18" t="str">
        <f>Table1[[#This Row],[Portico_Specialty]]&amp;"-"&amp;Table1[[#This Row],[Code]]</f>
        <v>Psychiatric Residential Treatment Facility-323P00000X</v>
      </c>
      <c r="U615" s="16" t="str">
        <f ca="1">IFERROR(VLOOKUP(ROWS($U$1:U614),$R$2:$S$918,2,FALSE),"")</f>
        <v>Psychiatric Residential Treatment Facility-323P00000X</v>
      </c>
    </row>
    <row r="616" spans="1:21" x14ac:dyDescent="0.3">
      <c r="A616" s="21" t="s">
        <v>1487</v>
      </c>
      <c r="B616" s="21" t="str">
        <f>Table1[[#This Row],[Code]]&amp;" "&amp;Table1[[#This Row],[Portico_Specialty]]</f>
        <v>273R00000X Psychiatric Unit</v>
      </c>
      <c r="C616" s="21" t="str">
        <f>CLEAN(Table1[[#This Row],[Code]])</f>
        <v>273R00000X</v>
      </c>
      <c r="D616" s="1" t="s">
        <v>1488</v>
      </c>
      <c r="E616" s="1" t="s">
        <v>2647</v>
      </c>
      <c r="F616" s="1" t="s">
        <v>2607</v>
      </c>
      <c r="G616" s="4" t="s">
        <v>2593</v>
      </c>
      <c r="H616" s="1" t="s">
        <v>2642</v>
      </c>
      <c r="I616" s="1"/>
      <c r="J616" s="1" t="s">
        <v>2642</v>
      </c>
      <c r="K616" s="1" t="s">
        <v>2642</v>
      </c>
      <c r="L616" s="1" t="s">
        <v>2642</v>
      </c>
      <c r="M616" s="1" t="s">
        <v>2642</v>
      </c>
      <c r="N616" s="1" t="s">
        <v>2643</v>
      </c>
      <c r="O616" s="1" t="s">
        <v>2642</v>
      </c>
      <c r="P616" s="9"/>
      <c r="R616" s="16">
        <f ca="1">IF(ISNUMBER(SEARCH(INDIRECT(CELL("address")),S616)),MAX($R$1:R615)+1,0)</f>
        <v>615</v>
      </c>
      <c r="S616" s="18" t="str">
        <f>Table1[[#This Row],[Portico_Specialty]]&amp;"-"&amp;Table1[[#This Row],[Code]]</f>
        <v>Psychiatric Unit-273R00000X</v>
      </c>
      <c r="U616" s="16" t="str">
        <f ca="1">IFERROR(VLOOKUP(ROWS($U$1:U615),$R$2:$S$918,2,FALSE),"")</f>
        <v>Psychiatric Unit-273R00000X</v>
      </c>
    </row>
    <row r="617" spans="1:21" ht="30.75" x14ac:dyDescent="0.3">
      <c r="A617" s="21" t="s">
        <v>889</v>
      </c>
      <c r="B617" s="21" t="str">
        <f>Table1[[#This Row],[Code]]&amp;" "&amp;Table1[[#This Row],[Portico_Specialty]]</f>
        <v>2084A0401X Psychiatry &amp; Neurology: Addiction Medicine</v>
      </c>
      <c r="C617" s="21" t="str">
        <f>CLEAN(Table1[[#This Row],[Code]])</f>
        <v>2084A0401X</v>
      </c>
      <c r="D617" s="1" t="s">
        <v>890</v>
      </c>
      <c r="E617" s="1"/>
      <c r="F617" s="1" t="s">
        <v>2607</v>
      </c>
      <c r="G617" s="4" t="s">
        <v>2593</v>
      </c>
      <c r="H617" s="1" t="s">
        <v>2605</v>
      </c>
      <c r="I617" s="1"/>
      <c r="J617" s="1" t="s">
        <v>2614</v>
      </c>
      <c r="K617" s="1" t="s">
        <v>2605</v>
      </c>
      <c r="L617" s="1" t="s">
        <v>2605</v>
      </c>
      <c r="M617" s="1" t="s">
        <v>2614</v>
      </c>
      <c r="N617" s="1" t="s">
        <v>2605</v>
      </c>
      <c r="O617" s="1" t="s">
        <v>2605</v>
      </c>
      <c r="P617" s="9"/>
      <c r="R617" s="16">
        <f ca="1">IF(ISNUMBER(SEARCH(INDIRECT(CELL("address")),S617)),MAX($R$1:R616)+1,0)</f>
        <v>616</v>
      </c>
      <c r="S617" s="18" t="str">
        <f>Table1[[#This Row],[Portico_Specialty]]&amp;"-"&amp;Table1[[#This Row],[Code]]</f>
        <v>Psychiatry &amp; Neurology: Addiction Medicine-2084A0401X</v>
      </c>
      <c r="U617" s="16" t="str">
        <f ca="1">IFERROR(VLOOKUP(ROWS($U$1:U616),$R$2:$S$918,2,FALSE),"")</f>
        <v>Psychiatry &amp; Neurology: Addiction Medicine-2084A0401X</v>
      </c>
    </row>
    <row r="618" spans="1:21" ht="30.75" x14ac:dyDescent="0.3">
      <c r="A618" s="21" t="s">
        <v>919</v>
      </c>
      <c r="B618" s="21" t="str">
        <f>Table1[[#This Row],[Code]]&amp;" "&amp;Table1[[#This Row],[Portico_Specialty]]</f>
        <v>2084P0802X Psychiatry &amp; Neurology: Addiction Psychiatry</v>
      </c>
      <c r="C618" s="21" t="str">
        <f>CLEAN(Table1[[#This Row],[Code]])</f>
        <v>2084P0802X</v>
      </c>
      <c r="D618" s="1" t="s">
        <v>920</v>
      </c>
      <c r="E618" s="1"/>
      <c r="F618" s="1" t="s">
        <v>2607</v>
      </c>
      <c r="G618" s="4" t="s">
        <v>2593</v>
      </c>
      <c r="H618" s="1" t="s">
        <v>2614</v>
      </c>
      <c r="I618" s="1"/>
      <c r="J618" s="1" t="s">
        <v>2614</v>
      </c>
      <c r="K618" s="1" t="s">
        <v>2614</v>
      </c>
      <c r="L618" s="1" t="s">
        <v>2614</v>
      </c>
      <c r="M618" s="1" t="s">
        <v>2614</v>
      </c>
      <c r="N618" s="1" t="s">
        <v>2614</v>
      </c>
      <c r="O618" s="1" t="s">
        <v>2614</v>
      </c>
      <c r="P618" s="9"/>
      <c r="R618" s="16">
        <f ca="1">IF(ISNUMBER(SEARCH(INDIRECT(CELL("address")),S618)),MAX($R$1:R617)+1,0)</f>
        <v>617</v>
      </c>
      <c r="S618" s="18" t="str">
        <f>Table1[[#This Row],[Portico_Specialty]]&amp;"-"&amp;Table1[[#This Row],[Code]]</f>
        <v>Psychiatry &amp; Neurology: Addiction Psychiatry-2084P0802X</v>
      </c>
      <c r="U618" s="16" t="str">
        <f ca="1">IFERROR(VLOOKUP(ROWS($U$1:U617),$R$2:$S$918,2,FALSE),"")</f>
        <v>Psychiatry &amp; Neurology: Addiction Psychiatry-2084P0802X</v>
      </c>
    </row>
    <row r="619" spans="1:21" ht="30.75" x14ac:dyDescent="0.3">
      <c r="A619" s="21" t="s">
        <v>915</v>
      </c>
      <c r="B619" s="21" t="str">
        <f>Table1[[#This Row],[Code]]&amp;" "&amp;Table1[[#This Row],[Portico_Specialty]]</f>
        <v>2084P0301X Psychiatry &amp; Neurology: Brain Injury Medicine</v>
      </c>
      <c r="C619" s="21" t="str">
        <f>CLEAN(Table1[[#This Row],[Code]])</f>
        <v>2084P0301X</v>
      </c>
      <c r="D619" s="1" t="s">
        <v>916</v>
      </c>
      <c r="E619" s="1"/>
      <c r="F619" s="1" t="s">
        <v>2587</v>
      </c>
      <c r="G619" s="4" t="s">
        <v>2593</v>
      </c>
      <c r="H619" s="1"/>
      <c r="I619" s="1"/>
      <c r="J619" s="1" t="s">
        <v>2614</v>
      </c>
      <c r="K619" s="1" t="s">
        <v>2614</v>
      </c>
      <c r="L619" s="1"/>
      <c r="M619" s="1"/>
      <c r="N619" s="1"/>
      <c r="O619" s="1" t="s">
        <v>2614</v>
      </c>
      <c r="P619" s="9"/>
      <c r="R619" s="16">
        <f ca="1">IF(ISNUMBER(SEARCH(INDIRECT(CELL("address")),S619)),MAX($R$1:R618)+1,0)</f>
        <v>618</v>
      </c>
      <c r="S619" s="18" t="str">
        <f>Table1[[#This Row],[Portico_Specialty]]&amp;"-"&amp;Table1[[#This Row],[Code]]</f>
        <v>Psychiatry &amp; Neurology: Brain Injury Medicine-2084P0301X</v>
      </c>
      <c r="U619" s="16" t="str">
        <f ca="1">IFERROR(VLOOKUP(ROWS($U$1:U618),$R$2:$S$918,2,FALSE),"")</f>
        <v>Psychiatry &amp; Neurology: Brain Injury Medicine-2084P0301X</v>
      </c>
    </row>
    <row r="620" spans="1:21" ht="30.75" x14ac:dyDescent="0.3">
      <c r="A620" s="21" t="s">
        <v>921</v>
      </c>
      <c r="B620" s="21" t="str">
        <f>Table1[[#This Row],[Code]]&amp;" "&amp;Table1[[#This Row],[Portico_Specialty]]</f>
        <v>2084P0804X Psychiatry &amp; Neurology: Child &amp; Adolescent Psychiatry</v>
      </c>
      <c r="C620" s="21" t="str">
        <f>CLEAN(Table1[[#This Row],[Code]])</f>
        <v>2084P0804X</v>
      </c>
      <c r="D620" s="1" t="s">
        <v>922</v>
      </c>
      <c r="E620" s="1"/>
      <c r="F620" s="1" t="s">
        <v>2607</v>
      </c>
      <c r="G620" s="4" t="s">
        <v>2593</v>
      </c>
      <c r="H620" s="1" t="s">
        <v>2707</v>
      </c>
      <c r="I620" s="1"/>
      <c r="J620" s="1" t="s">
        <v>2614</v>
      </c>
      <c r="K620" s="1" t="s">
        <v>2614</v>
      </c>
      <c r="L620" s="1" t="s">
        <v>2614</v>
      </c>
      <c r="M620" s="1" t="s">
        <v>2614</v>
      </c>
      <c r="N620" s="1" t="s">
        <v>2614</v>
      </c>
      <c r="O620" s="1" t="s">
        <v>2614</v>
      </c>
      <c r="P620" s="9"/>
      <c r="R620" s="16">
        <f ca="1">IF(ISNUMBER(SEARCH(INDIRECT(CELL("address")),S620)),MAX($R$1:R619)+1,0)</f>
        <v>619</v>
      </c>
      <c r="S620" s="18" t="str">
        <f>Table1[[#This Row],[Portico_Specialty]]&amp;"-"&amp;Table1[[#This Row],[Code]]</f>
        <v>Psychiatry &amp; Neurology: Child &amp; Adolescent Psychiatry-2084P0804X</v>
      </c>
      <c r="U620" s="16" t="str">
        <f ca="1">IFERROR(VLOOKUP(ROWS($U$1:U619),$R$2:$S$918,2,FALSE),"")</f>
        <v>Psychiatry &amp; Neurology: Child &amp; Adolescent Psychiatry-2084P0804X</v>
      </c>
    </row>
    <row r="621" spans="1:21" ht="30.75" x14ac:dyDescent="0.3">
      <c r="A621" s="21" t="s">
        <v>909</v>
      </c>
      <c r="B621" s="21" t="str">
        <f>Table1[[#This Row],[Code]]&amp;" "&amp;Table1[[#This Row],[Portico_Specialty]]</f>
        <v>2084N0600X Psychiatry &amp; Neurology: Clinical Neurophysiology</v>
      </c>
      <c r="C621" s="21" t="str">
        <f>CLEAN(Table1[[#This Row],[Code]])</f>
        <v>2084N0600X</v>
      </c>
      <c r="D621" s="1" t="s">
        <v>910</v>
      </c>
      <c r="E621" s="1"/>
      <c r="F621" s="1" t="s">
        <v>2587</v>
      </c>
      <c r="G621" s="4" t="s">
        <v>2593</v>
      </c>
      <c r="H621" s="1" t="s">
        <v>2614</v>
      </c>
      <c r="I621" s="1"/>
      <c r="J621" s="1" t="s">
        <v>2701</v>
      </c>
      <c r="K621" s="1" t="s">
        <v>2614</v>
      </c>
      <c r="L621" s="1" t="s">
        <v>2831</v>
      </c>
      <c r="M621" s="1" t="s">
        <v>2701</v>
      </c>
      <c r="N621" s="1" t="s">
        <v>2701</v>
      </c>
      <c r="O621" s="1" t="s">
        <v>2614</v>
      </c>
      <c r="P621" s="9"/>
      <c r="R621" s="16">
        <f ca="1">IF(ISNUMBER(SEARCH(INDIRECT(CELL("address")),S621)),MAX($R$1:R620)+1,0)</f>
        <v>620</v>
      </c>
      <c r="S621" s="18" t="str">
        <f>Table1[[#This Row],[Portico_Specialty]]&amp;"-"&amp;Table1[[#This Row],[Code]]</f>
        <v>Psychiatry &amp; Neurology: Clinical Neurophysiology-2084N0600X</v>
      </c>
      <c r="U621" s="16" t="str">
        <f ca="1">IFERROR(VLOOKUP(ROWS($U$1:U620),$R$2:$S$918,2,FALSE),"")</f>
        <v>Psychiatry &amp; Neurology: Clinical Neurophysiology-2084N0600X</v>
      </c>
    </row>
    <row r="622" spans="1:21" ht="30.75" x14ac:dyDescent="0.3">
      <c r="A622" s="21" t="s">
        <v>897</v>
      </c>
      <c r="B622" s="21" t="str">
        <f>Table1[[#This Row],[Code]]&amp;" "&amp;Table1[[#This Row],[Portico_Specialty]]</f>
        <v>2084D0003X Psychiatry &amp; Neurology: Diagnostic Neuroimaging</v>
      </c>
      <c r="C622" s="21" t="str">
        <f>CLEAN(Table1[[#This Row],[Code]])</f>
        <v>2084D0003X</v>
      </c>
      <c r="D622" s="1" t="s">
        <v>898</v>
      </c>
      <c r="E622" s="1"/>
      <c r="F622" s="1" t="s">
        <v>2587</v>
      </c>
      <c r="G622" s="4" t="s">
        <v>2593</v>
      </c>
      <c r="H622" s="1" t="s">
        <v>2701</v>
      </c>
      <c r="I622" s="1"/>
      <c r="J622" s="1" t="s">
        <v>2701</v>
      </c>
      <c r="K622" s="1" t="s">
        <v>2831</v>
      </c>
      <c r="L622" s="1" t="s">
        <v>2701</v>
      </c>
      <c r="M622" s="1" t="s">
        <v>2701</v>
      </c>
      <c r="N622" s="1" t="s">
        <v>2701</v>
      </c>
      <c r="O622" s="1" t="s">
        <v>2831</v>
      </c>
      <c r="P622" s="9"/>
      <c r="R622" s="16">
        <f ca="1">IF(ISNUMBER(SEARCH(INDIRECT(CELL("address")),S622)),MAX($R$1:R621)+1,0)</f>
        <v>621</v>
      </c>
      <c r="S622" s="18" t="str">
        <f>Table1[[#This Row],[Portico_Specialty]]&amp;"-"&amp;Table1[[#This Row],[Code]]</f>
        <v>Psychiatry &amp; Neurology: Diagnostic Neuroimaging-2084D0003X</v>
      </c>
      <c r="U622" s="16" t="str">
        <f ca="1">IFERROR(VLOOKUP(ROWS($U$1:U621),$R$2:$S$918,2,FALSE),"")</f>
        <v>Psychiatry &amp; Neurology: Diagnostic Neuroimaging-2084D0003X</v>
      </c>
    </row>
    <row r="623" spans="1:21" x14ac:dyDescent="0.3">
      <c r="A623" s="21" t="s">
        <v>899</v>
      </c>
      <c r="B623" s="21" t="str">
        <f>Table1[[#This Row],[Code]]&amp;" "&amp;Table1[[#This Row],[Portico_Specialty]]</f>
        <v>2084F0202X Psychiatry &amp; Neurology: Forensic Psychiatry</v>
      </c>
      <c r="C623" s="21" t="str">
        <f>CLEAN(Table1[[#This Row],[Code]])</f>
        <v>2084F0202X</v>
      </c>
      <c r="D623" s="1" t="s">
        <v>900</v>
      </c>
      <c r="E623" s="1"/>
      <c r="F623" s="1" t="s">
        <v>2607</v>
      </c>
      <c r="G623" s="4" t="s">
        <v>2593</v>
      </c>
      <c r="H623" s="1" t="s">
        <v>2614</v>
      </c>
      <c r="I623" s="1"/>
      <c r="J623" s="1" t="s">
        <v>2614</v>
      </c>
      <c r="K623" s="1" t="s">
        <v>2614</v>
      </c>
      <c r="L623" s="1" t="s">
        <v>2614</v>
      </c>
      <c r="M623" s="1" t="s">
        <v>2614</v>
      </c>
      <c r="N623" s="1" t="s">
        <v>2614</v>
      </c>
      <c r="O623" s="1" t="s">
        <v>2614</v>
      </c>
      <c r="P623" s="9"/>
      <c r="R623" s="16">
        <f ca="1">IF(ISNUMBER(SEARCH(INDIRECT(CELL("address")),S623)),MAX($R$1:R622)+1,0)</f>
        <v>622</v>
      </c>
      <c r="S623" s="18" t="str">
        <f>Table1[[#This Row],[Portico_Specialty]]&amp;"-"&amp;Table1[[#This Row],[Code]]</f>
        <v>Psychiatry &amp; Neurology: Forensic Psychiatry-2084F0202X</v>
      </c>
      <c r="U623" s="16" t="str">
        <f ca="1">IFERROR(VLOOKUP(ROWS($U$1:U622),$R$2:$S$918,2,FALSE),"")</f>
        <v>Psychiatry &amp; Neurology: Forensic Psychiatry-2084F0202X</v>
      </c>
    </row>
    <row r="624" spans="1:21" x14ac:dyDescent="0.3">
      <c r="A624" s="21" t="s">
        <v>923</v>
      </c>
      <c r="B624" s="21" t="str">
        <f>Table1[[#This Row],[Code]]&amp;" "&amp;Table1[[#This Row],[Portico_Specialty]]</f>
        <v>2084P0805X Psychiatry &amp; Neurology: Geriatric Psychiatry</v>
      </c>
      <c r="C624" s="21" t="str">
        <f>CLEAN(Table1[[#This Row],[Code]])</f>
        <v>2084P0805X</v>
      </c>
      <c r="D624" s="1" t="s">
        <v>924</v>
      </c>
      <c r="E624" s="1"/>
      <c r="F624" s="1" t="s">
        <v>2607</v>
      </c>
      <c r="G624" s="4" t="s">
        <v>2593</v>
      </c>
      <c r="H624" s="1" t="s">
        <v>2614</v>
      </c>
      <c r="I624" s="1"/>
      <c r="J624" s="1" t="s">
        <v>2614</v>
      </c>
      <c r="K624" s="1" t="s">
        <v>2614</v>
      </c>
      <c r="L624" s="1" t="s">
        <v>2614</v>
      </c>
      <c r="M624" s="1" t="s">
        <v>2614</v>
      </c>
      <c r="N624" s="1" t="s">
        <v>2832</v>
      </c>
      <c r="O624" s="1" t="s">
        <v>2614</v>
      </c>
      <c r="P624" s="9"/>
      <c r="R624" s="16">
        <f ca="1">IF(ISNUMBER(SEARCH(INDIRECT(CELL("address")),S624)),MAX($R$1:R623)+1,0)</f>
        <v>623</v>
      </c>
      <c r="S624" s="18" t="str">
        <f>Table1[[#This Row],[Portico_Specialty]]&amp;"-"&amp;Table1[[#This Row],[Code]]</f>
        <v>Psychiatry &amp; Neurology: Geriatric Psychiatry-2084P0805X</v>
      </c>
      <c r="U624" s="16" t="str">
        <f ca="1">IFERROR(VLOOKUP(ROWS($U$1:U623),$R$2:$S$918,2,FALSE),"")</f>
        <v>Psychiatry &amp; Neurology: Geriatric Psychiatry-2084P0805X</v>
      </c>
    </row>
    <row r="625" spans="1:21" ht="30.75" x14ac:dyDescent="0.3">
      <c r="A625" s="21" t="s">
        <v>901</v>
      </c>
      <c r="B625" s="21" t="str">
        <f>Table1[[#This Row],[Code]]&amp;" "&amp;Table1[[#This Row],[Portico_Specialty]]</f>
        <v>2084H0002X Psychiatry &amp; Neurology: Hospice and Palliative Medicine</v>
      </c>
      <c r="C625" s="21" t="str">
        <f>CLEAN(Table1[[#This Row],[Code]])</f>
        <v>2084H0002X</v>
      </c>
      <c r="D625" s="1" t="s">
        <v>902</v>
      </c>
      <c r="E625" s="1"/>
      <c r="F625" s="1" t="s">
        <v>2607</v>
      </c>
      <c r="G625" s="4" t="s">
        <v>2593</v>
      </c>
      <c r="H625" s="1" t="s">
        <v>2614</v>
      </c>
      <c r="I625" s="1"/>
      <c r="J625" s="1" t="s">
        <v>2614</v>
      </c>
      <c r="K625" s="1" t="s">
        <v>2614</v>
      </c>
      <c r="L625" s="1" t="s">
        <v>2614</v>
      </c>
      <c r="M625" s="1" t="s">
        <v>2614</v>
      </c>
      <c r="N625" s="1" t="s">
        <v>2831</v>
      </c>
      <c r="O625" s="1" t="s">
        <v>2614</v>
      </c>
      <c r="P625" s="9"/>
      <c r="R625" s="16">
        <f ca="1">IF(ISNUMBER(SEARCH(INDIRECT(CELL("address")),S625)),MAX($R$1:R624)+1,0)</f>
        <v>624</v>
      </c>
      <c r="S625" s="18" t="str">
        <f>Table1[[#This Row],[Portico_Specialty]]&amp;"-"&amp;Table1[[#This Row],[Code]]</f>
        <v>Psychiatry &amp; Neurology: Hospice and Palliative Medicine-2084H0002X</v>
      </c>
      <c r="U625" s="16" t="str">
        <f ca="1">IFERROR(VLOOKUP(ROWS($U$1:U624),$R$2:$S$918,2,FALSE),"")</f>
        <v>Psychiatry &amp; Neurology: Hospice and Palliative Medicine-2084H0002X</v>
      </c>
    </row>
    <row r="626" spans="1:21" x14ac:dyDescent="0.3">
      <c r="A626" s="21" t="s">
        <v>891</v>
      </c>
      <c r="B626" s="21" t="str">
        <f>Table1[[#This Row],[Code]]&amp;" "&amp;Table1[[#This Row],[Portico_Specialty]]</f>
        <v>2084A2900X Psychiatry &amp; Neurology: Neurocritical Care</v>
      </c>
      <c r="C626" s="21" t="str">
        <f>CLEAN(Table1[[#This Row],[Code]])</f>
        <v>2084A2900X</v>
      </c>
      <c r="D626" s="1" t="s">
        <v>892</v>
      </c>
      <c r="E626" s="1"/>
      <c r="F626" s="1" t="s">
        <v>2587</v>
      </c>
      <c r="G626" s="4" t="s">
        <v>2593</v>
      </c>
      <c r="H626" s="1"/>
      <c r="I626" s="1"/>
      <c r="J626" s="1" t="s">
        <v>2614</v>
      </c>
      <c r="K626" s="1" t="s">
        <v>2614</v>
      </c>
      <c r="L626" s="1"/>
      <c r="M626" s="1"/>
      <c r="N626" s="1"/>
      <c r="O626" s="1" t="s">
        <v>2614</v>
      </c>
      <c r="P626" s="9"/>
      <c r="R626" s="16">
        <f ca="1">IF(ISNUMBER(SEARCH(INDIRECT(CELL("address")),S626)),MAX($R$1:R625)+1,0)</f>
        <v>625</v>
      </c>
      <c r="S626" s="18" t="str">
        <f>Table1[[#This Row],[Portico_Specialty]]&amp;"-"&amp;Table1[[#This Row],[Code]]</f>
        <v>Psychiatry &amp; Neurology: Neurocritical Care-2084A2900X</v>
      </c>
      <c r="U626" s="16" t="str">
        <f ca="1">IFERROR(VLOOKUP(ROWS($U$1:U625),$R$2:$S$918,2,FALSE),"")</f>
        <v>Psychiatry &amp; Neurology: Neurocritical Care-2084A2900X</v>
      </c>
    </row>
    <row r="627" spans="1:21" ht="30.75" x14ac:dyDescent="0.3">
      <c r="A627" s="21" t="s">
        <v>911</v>
      </c>
      <c r="B627" s="21" t="str">
        <f>Table1[[#This Row],[Code]]&amp;" "&amp;Table1[[#This Row],[Portico_Specialty]]</f>
        <v>2084P0005X Psychiatry &amp; Neurology: Neurodevelopmental Disabilities</v>
      </c>
      <c r="C627" s="21" t="str">
        <f>CLEAN(Table1[[#This Row],[Code]])</f>
        <v>2084P0005X</v>
      </c>
      <c r="D627" s="1" t="s">
        <v>912</v>
      </c>
      <c r="E627" s="1"/>
      <c r="F627" s="1" t="s">
        <v>2587</v>
      </c>
      <c r="G627" s="4" t="s">
        <v>2593</v>
      </c>
      <c r="H627" s="1" t="s">
        <v>2614</v>
      </c>
      <c r="I627" s="1"/>
      <c r="J627" s="1" t="s">
        <v>2701</v>
      </c>
      <c r="K627" s="1" t="s">
        <v>2831</v>
      </c>
      <c r="L627" s="1" t="s">
        <v>2701</v>
      </c>
      <c r="M627" s="1" t="s">
        <v>2701</v>
      </c>
      <c r="N627" s="1" t="s">
        <v>2831</v>
      </c>
      <c r="O627" s="1" t="s">
        <v>2831</v>
      </c>
      <c r="P627" s="9"/>
      <c r="R627" s="16">
        <f ca="1">IF(ISNUMBER(SEARCH(INDIRECT(CELL("address")),S627)),MAX($R$1:R626)+1,0)</f>
        <v>626</v>
      </c>
      <c r="S627" s="18" t="str">
        <f>Table1[[#This Row],[Portico_Specialty]]&amp;"-"&amp;Table1[[#This Row],[Code]]</f>
        <v>Psychiatry &amp; Neurology: Neurodevelopmental Disabilities-2084P0005X</v>
      </c>
      <c r="U627" s="16" t="str">
        <f ca="1">IFERROR(VLOOKUP(ROWS($U$1:U626),$R$2:$S$918,2,FALSE),"")</f>
        <v>Psychiatry &amp; Neurology: Neurodevelopmental Disabilities-2084P0005X</v>
      </c>
    </row>
    <row r="628" spans="1:21" x14ac:dyDescent="0.3">
      <c r="A628" s="21" t="s">
        <v>905</v>
      </c>
      <c r="B628" s="21" t="str">
        <f>Table1[[#This Row],[Code]]&amp;" "&amp;Table1[[#This Row],[Portico_Specialty]]</f>
        <v>2084N0400X Psychiatry &amp; Neurology: Neurology</v>
      </c>
      <c r="C628" s="21" t="str">
        <f>CLEAN(Table1[[#This Row],[Code]])</f>
        <v>2084N0400X</v>
      </c>
      <c r="D628" s="1" t="s">
        <v>906</v>
      </c>
      <c r="E628" s="1"/>
      <c r="F628" s="1" t="s">
        <v>2587</v>
      </c>
      <c r="G628" s="4" t="s">
        <v>2593</v>
      </c>
      <c r="H628" s="1" t="s">
        <v>2701</v>
      </c>
      <c r="I628" s="1"/>
      <c r="J628" s="1" t="s">
        <v>2701</v>
      </c>
      <c r="K628" s="1" t="s">
        <v>2614</v>
      </c>
      <c r="L628" s="1" t="s">
        <v>2701</v>
      </c>
      <c r="M628" s="1" t="s">
        <v>2701</v>
      </c>
      <c r="N628" s="1" t="s">
        <v>2701</v>
      </c>
      <c r="O628" s="1" t="s">
        <v>2614</v>
      </c>
      <c r="P628" s="9"/>
      <c r="R628" s="16">
        <f ca="1">IF(ISNUMBER(SEARCH(INDIRECT(CELL("address")),S628)),MAX($R$1:R627)+1,0)</f>
        <v>627</v>
      </c>
      <c r="S628" s="18" t="str">
        <f>Table1[[#This Row],[Portico_Specialty]]&amp;"-"&amp;Table1[[#This Row],[Code]]</f>
        <v>Psychiatry &amp; Neurology: Neurology-2084N0400X</v>
      </c>
      <c r="U628" s="16" t="str">
        <f ca="1">IFERROR(VLOOKUP(ROWS($U$1:U627),$R$2:$S$918,2,FALSE),"")</f>
        <v>Psychiatry &amp; Neurology: Neurology-2084N0400X</v>
      </c>
    </row>
    <row r="629" spans="1:21" ht="30.75" x14ac:dyDescent="0.3">
      <c r="A629" s="21" t="s">
        <v>907</v>
      </c>
      <c r="B629" s="21" t="str">
        <f>Table1[[#This Row],[Code]]&amp;" "&amp;Table1[[#This Row],[Portico_Specialty]]</f>
        <v>2084N0402X Psychiatry &amp; Neurology: Neurology with Special Qualifications in Child Neurology</v>
      </c>
      <c r="C629" s="21" t="str">
        <f>CLEAN(Table1[[#This Row],[Code]])</f>
        <v>2084N0402X</v>
      </c>
      <c r="D629" s="1" t="s">
        <v>908</v>
      </c>
      <c r="E629" s="1"/>
      <c r="F629" s="1" t="s">
        <v>2587</v>
      </c>
      <c r="G629" s="4" t="s">
        <v>2593</v>
      </c>
      <c r="H629" s="1" t="s">
        <v>2701</v>
      </c>
      <c r="I629" s="1"/>
      <c r="J629" s="1" t="s">
        <v>2701</v>
      </c>
      <c r="K629" s="1" t="s">
        <v>2614</v>
      </c>
      <c r="L629" s="1" t="s">
        <v>2701</v>
      </c>
      <c r="M629" s="1" t="s">
        <v>2701</v>
      </c>
      <c r="N629" s="1" t="s">
        <v>2701</v>
      </c>
      <c r="O629" s="1" t="s">
        <v>2614</v>
      </c>
      <c r="P629" s="9"/>
      <c r="R629" s="16">
        <f ca="1">IF(ISNUMBER(SEARCH(INDIRECT(CELL("address")),S629)),MAX($R$1:R628)+1,0)</f>
        <v>628</v>
      </c>
      <c r="S629" s="18" t="str">
        <f>Table1[[#This Row],[Portico_Specialty]]&amp;"-"&amp;Table1[[#This Row],[Code]]</f>
        <v>Psychiatry &amp; Neurology: Neurology with Special Qualifications in Child Neurology-2084N0402X</v>
      </c>
      <c r="U629" s="16" t="str">
        <f ca="1">IFERROR(VLOOKUP(ROWS($U$1:U628),$R$2:$S$918,2,FALSE),"")</f>
        <v>Psychiatry &amp; Neurology: Neurology with Special Qualifications in Child Neurology-2084N0402X</v>
      </c>
    </row>
    <row r="630" spans="1:21" ht="30.75" x14ac:dyDescent="0.3">
      <c r="A630" s="21" t="s">
        <v>903</v>
      </c>
      <c r="B630" s="21" t="str">
        <f>Table1[[#This Row],[Code]]&amp;" "&amp;Table1[[#This Row],[Portico_Specialty]]</f>
        <v>2084N0008X Psychiatry &amp; Neurology: Neuromuscular Medicine</v>
      </c>
      <c r="C630" s="21" t="str">
        <f>CLEAN(Table1[[#This Row],[Code]])</f>
        <v>2084N0008X</v>
      </c>
      <c r="D630" s="1" t="s">
        <v>904</v>
      </c>
      <c r="E630" s="1"/>
      <c r="F630" s="1" t="s">
        <v>2587</v>
      </c>
      <c r="G630" s="4" t="s">
        <v>2593</v>
      </c>
      <c r="H630" s="1" t="s">
        <v>2701</v>
      </c>
      <c r="I630" s="1"/>
      <c r="J630" s="1" t="s">
        <v>2701</v>
      </c>
      <c r="K630" s="1" t="s">
        <v>2831</v>
      </c>
      <c r="L630" s="1" t="s">
        <v>2701</v>
      </c>
      <c r="M630" s="1" t="s">
        <v>2701</v>
      </c>
      <c r="N630" s="1" t="s">
        <v>2701</v>
      </c>
      <c r="O630" s="1" t="s">
        <v>2831</v>
      </c>
      <c r="P630" s="9"/>
      <c r="R630" s="16">
        <f ca="1">IF(ISNUMBER(SEARCH(INDIRECT(CELL("address")),S630)),MAX($R$1:R629)+1,0)</f>
        <v>629</v>
      </c>
      <c r="S630" s="18" t="str">
        <f>Table1[[#This Row],[Portico_Specialty]]&amp;"-"&amp;Table1[[#This Row],[Code]]</f>
        <v>Psychiatry &amp; Neurology: Neuromuscular Medicine-2084N0008X</v>
      </c>
      <c r="U630" s="16" t="str">
        <f ca="1">IFERROR(VLOOKUP(ROWS($U$1:U629),$R$2:$S$918,2,FALSE),"")</f>
        <v>Psychiatry &amp; Neurology: Neuromuscular Medicine-2084N0008X</v>
      </c>
    </row>
    <row r="631" spans="1:21" x14ac:dyDescent="0.3">
      <c r="A631" s="21" t="s">
        <v>893</v>
      </c>
      <c r="B631" s="21" t="str">
        <f>Table1[[#This Row],[Code]]&amp;" "&amp;Table1[[#This Row],[Portico_Specialty]]</f>
        <v>2084B0002X Psychiatry &amp; Neurology: Obesity Medicine</v>
      </c>
      <c r="C631" s="21" t="str">
        <f>CLEAN(Table1[[#This Row],[Code]])</f>
        <v>2084B0002X</v>
      </c>
      <c r="D631" s="1" t="s">
        <v>894</v>
      </c>
      <c r="E631" s="1"/>
      <c r="F631" s="1" t="s">
        <v>2607</v>
      </c>
      <c r="G631" s="4" t="s">
        <v>2593</v>
      </c>
      <c r="H631" s="1" t="s">
        <v>2614</v>
      </c>
      <c r="I631" s="1"/>
      <c r="J631" s="1" t="s">
        <v>2614</v>
      </c>
      <c r="K631" s="1" t="s">
        <v>2614</v>
      </c>
      <c r="L631" s="1" t="s">
        <v>2614</v>
      </c>
      <c r="M631" s="1"/>
      <c r="N631" s="1" t="s">
        <v>2831</v>
      </c>
      <c r="O631" s="1" t="s">
        <v>2614</v>
      </c>
      <c r="P631" s="9"/>
      <c r="R631" s="16">
        <f ca="1">IF(ISNUMBER(SEARCH(INDIRECT(CELL("address")),S631)),MAX($R$1:R630)+1,0)</f>
        <v>630</v>
      </c>
      <c r="S631" s="18" t="str">
        <f>Table1[[#This Row],[Portico_Specialty]]&amp;"-"&amp;Table1[[#This Row],[Code]]</f>
        <v>Psychiatry &amp; Neurology: Obesity Medicine-2084B0002X</v>
      </c>
      <c r="U631" s="16" t="str">
        <f ca="1">IFERROR(VLOOKUP(ROWS($U$1:U630),$R$2:$S$918,2,FALSE),"")</f>
        <v>Psychiatry &amp; Neurology: Obesity Medicine-2084B0002X</v>
      </c>
    </row>
    <row r="632" spans="1:21" x14ac:dyDescent="0.3">
      <c r="A632" s="21" t="s">
        <v>925</v>
      </c>
      <c r="B632" s="21" t="str">
        <f>Table1[[#This Row],[Code]]&amp;" "&amp;Table1[[#This Row],[Portico_Specialty]]</f>
        <v>2084P2900X Psychiatry &amp; Neurology: Pain Medicine</v>
      </c>
      <c r="C632" s="21" t="str">
        <f>CLEAN(Table1[[#This Row],[Code]])</f>
        <v>2084P2900X</v>
      </c>
      <c r="D632" s="1" t="s">
        <v>926</v>
      </c>
      <c r="E632" s="1"/>
      <c r="F632" s="1" t="s">
        <v>2587</v>
      </c>
      <c r="G632" s="4" t="s">
        <v>2593</v>
      </c>
      <c r="H632" s="1" t="s">
        <v>2814</v>
      </c>
      <c r="I632" s="1"/>
      <c r="J632" s="1" t="s">
        <v>2814</v>
      </c>
      <c r="K632" s="1" t="s">
        <v>2831</v>
      </c>
      <c r="L632" s="1" t="s">
        <v>2814</v>
      </c>
      <c r="M632" s="1" t="s">
        <v>2814</v>
      </c>
      <c r="N632" s="1" t="s">
        <v>2831</v>
      </c>
      <c r="O632" s="1" t="s">
        <v>2831</v>
      </c>
      <c r="P632" s="9"/>
      <c r="R632" s="16">
        <f ca="1">IF(ISNUMBER(SEARCH(INDIRECT(CELL("address")),S632)),MAX($R$1:R631)+1,0)</f>
        <v>631</v>
      </c>
      <c r="S632" s="18" t="str">
        <f>Table1[[#This Row],[Portico_Specialty]]&amp;"-"&amp;Table1[[#This Row],[Code]]</f>
        <v>Psychiatry &amp; Neurology: Pain Medicine-2084P2900X</v>
      </c>
      <c r="U632" s="16" t="str">
        <f ca="1">IFERROR(VLOOKUP(ROWS($U$1:U631),$R$2:$S$918,2,FALSE),"")</f>
        <v>Psychiatry &amp; Neurology: Pain Medicine-2084P2900X</v>
      </c>
    </row>
    <row r="633" spans="1:21" x14ac:dyDescent="0.3">
      <c r="A633" s="21" t="s">
        <v>917</v>
      </c>
      <c r="B633" s="21" t="str">
        <f>Table1[[#This Row],[Code]]&amp;" "&amp;Table1[[#This Row],[Portico_Specialty]]</f>
        <v>2084P0800X Psychiatry &amp; Neurology: Psychiatry</v>
      </c>
      <c r="C633" s="21" t="str">
        <f>CLEAN(Table1[[#This Row],[Code]])</f>
        <v>2084P0800X</v>
      </c>
      <c r="D633" s="1" t="s">
        <v>918</v>
      </c>
      <c r="E633" s="1"/>
      <c r="F633" s="1" t="s">
        <v>2607</v>
      </c>
      <c r="G633" s="4" t="s">
        <v>2593</v>
      </c>
      <c r="H633" s="1" t="s">
        <v>2614</v>
      </c>
      <c r="I633" s="1"/>
      <c r="J633" s="1" t="s">
        <v>2614</v>
      </c>
      <c r="K633" s="1" t="s">
        <v>2614</v>
      </c>
      <c r="L633" s="1" t="s">
        <v>2614</v>
      </c>
      <c r="M633" s="1" t="s">
        <v>2614</v>
      </c>
      <c r="N633" s="1" t="s">
        <v>2614</v>
      </c>
      <c r="O633" s="1" t="s">
        <v>2614</v>
      </c>
      <c r="P633" s="9"/>
      <c r="R633" s="16">
        <f ca="1">IF(ISNUMBER(SEARCH(INDIRECT(CELL("address")),S633)),MAX($R$1:R632)+1,0)</f>
        <v>632</v>
      </c>
      <c r="S633" s="18" t="str">
        <f>Table1[[#This Row],[Portico_Specialty]]&amp;"-"&amp;Table1[[#This Row],[Code]]</f>
        <v>Psychiatry &amp; Neurology: Psychiatry-2084P0800X</v>
      </c>
      <c r="U633" s="16" t="str">
        <f ca="1">IFERROR(VLOOKUP(ROWS($U$1:U632),$R$2:$S$918,2,FALSE),"")</f>
        <v>Psychiatry &amp; Neurology: Psychiatry-2084P0800X</v>
      </c>
    </row>
    <row r="634" spans="1:21" ht="30.75" x14ac:dyDescent="0.3">
      <c r="A634" s="21" t="s">
        <v>913</v>
      </c>
      <c r="B634" s="21" t="str">
        <f>Table1[[#This Row],[Code]]&amp;" "&amp;Table1[[#This Row],[Portico_Specialty]]</f>
        <v>2084P0015X Psychiatry &amp; Neurology: Psychosomatic Medicine</v>
      </c>
      <c r="C634" s="21" t="str">
        <f>CLEAN(Table1[[#This Row],[Code]])</f>
        <v>2084P0015X</v>
      </c>
      <c r="D634" s="1" t="s">
        <v>914</v>
      </c>
      <c r="E634" s="1"/>
      <c r="F634" s="1" t="s">
        <v>2607</v>
      </c>
      <c r="G634" s="4" t="s">
        <v>2593</v>
      </c>
      <c r="H634" s="1" t="s">
        <v>2614</v>
      </c>
      <c r="I634" s="1"/>
      <c r="J634" s="1" t="s">
        <v>2614</v>
      </c>
      <c r="K634" s="1" t="s">
        <v>2614</v>
      </c>
      <c r="L634" s="1" t="s">
        <v>2614</v>
      </c>
      <c r="M634" s="1" t="s">
        <v>2614</v>
      </c>
      <c r="N634" s="1" t="s">
        <v>2831</v>
      </c>
      <c r="O634" s="1" t="s">
        <v>2614</v>
      </c>
      <c r="P634" s="9"/>
      <c r="R634" s="16">
        <f ca="1">IF(ISNUMBER(SEARCH(INDIRECT(CELL("address")),S634)),MAX($R$1:R633)+1,0)</f>
        <v>633</v>
      </c>
      <c r="S634" s="18" t="str">
        <f>Table1[[#This Row],[Portico_Specialty]]&amp;"-"&amp;Table1[[#This Row],[Code]]</f>
        <v>Psychiatry &amp; Neurology: Psychosomatic Medicine-2084P0015X</v>
      </c>
      <c r="U634" s="16" t="str">
        <f ca="1">IFERROR(VLOOKUP(ROWS($U$1:U633),$R$2:$S$918,2,FALSE),"")</f>
        <v>Psychiatry &amp; Neurology: Psychosomatic Medicine-2084P0015X</v>
      </c>
    </row>
    <row r="635" spans="1:21" x14ac:dyDescent="0.3">
      <c r="A635" s="21" t="s">
        <v>929</v>
      </c>
      <c r="B635" s="21" t="str">
        <f>Table1[[#This Row],[Code]]&amp;" "&amp;Table1[[#This Row],[Portico_Specialty]]</f>
        <v>2084S0012X Psychiatry &amp; Neurology: Sleep Medicine</v>
      </c>
      <c r="C635" s="21" t="str">
        <f>CLEAN(Table1[[#This Row],[Code]])</f>
        <v>2084S0012X</v>
      </c>
      <c r="D635" s="1" t="s">
        <v>930</v>
      </c>
      <c r="E635" s="1"/>
      <c r="F635" s="1" t="s">
        <v>2607</v>
      </c>
      <c r="G635" s="4" t="s">
        <v>2593</v>
      </c>
      <c r="H635" s="1" t="s">
        <v>2614</v>
      </c>
      <c r="I635" s="1"/>
      <c r="J635" s="1" t="s">
        <v>2614</v>
      </c>
      <c r="K635" s="1" t="s">
        <v>2614</v>
      </c>
      <c r="L635" s="1" t="s">
        <v>2614</v>
      </c>
      <c r="M635" s="1" t="s">
        <v>2614</v>
      </c>
      <c r="N635" s="1" t="s">
        <v>2831</v>
      </c>
      <c r="O635" s="1" t="s">
        <v>2614</v>
      </c>
      <c r="P635" s="9"/>
      <c r="R635" s="16">
        <f ca="1">IF(ISNUMBER(SEARCH(INDIRECT(CELL("address")),S635)),MAX($R$1:R634)+1,0)</f>
        <v>634</v>
      </c>
      <c r="S635" s="18" t="str">
        <f>Table1[[#This Row],[Portico_Specialty]]&amp;"-"&amp;Table1[[#This Row],[Code]]</f>
        <v>Psychiatry &amp; Neurology: Sleep Medicine-2084S0012X</v>
      </c>
      <c r="U635" s="16" t="str">
        <f ca="1">IFERROR(VLOOKUP(ROWS($U$1:U634),$R$2:$S$918,2,FALSE),"")</f>
        <v>Psychiatry &amp; Neurology: Sleep Medicine-2084S0012X</v>
      </c>
    </row>
    <row r="636" spans="1:21" x14ac:dyDescent="0.3">
      <c r="A636" s="21" t="s">
        <v>927</v>
      </c>
      <c r="B636" s="21" t="str">
        <f>Table1[[#This Row],[Code]]&amp;" "&amp;Table1[[#This Row],[Portico_Specialty]]</f>
        <v>2084S0010X Psychiatry &amp; Neurology: Sports Medicine</v>
      </c>
      <c r="C636" s="21" t="str">
        <f>CLEAN(Table1[[#This Row],[Code]])</f>
        <v>2084S0010X</v>
      </c>
      <c r="D636" s="1" t="s">
        <v>928</v>
      </c>
      <c r="E636" s="1"/>
      <c r="F636" s="1" t="s">
        <v>2607</v>
      </c>
      <c r="G636" s="4" t="s">
        <v>2593</v>
      </c>
      <c r="H636" s="1" t="s">
        <v>2614</v>
      </c>
      <c r="I636" s="1"/>
      <c r="J636" s="1" t="s">
        <v>2614</v>
      </c>
      <c r="K636" s="1" t="s">
        <v>2614</v>
      </c>
      <c r="L636" s="1" t="s">
        <v>2701</v>
      </c>
      <c r="M636" s="1" t="s">
        <v>2614</v>
      </c>
      <c r="N636" s="1" t="s">
        <v>2831</v>
      </c>
      <c r="O636" s="1" t="s">
        <v>2614</v>
      </c>
      <c r="P636" s="9"/>
      <c r="R636" s="16">
        <f ca="1">IF(ISNUMBER(SEARCH(INDIRECT(CELL("address")),S636)),MAX($R$1:R635)+1,0)</f>
        <v>635</v>
      </c>
      <c r="S636" s="18" t="str">
        <f>Table1[[#This Row],[Portico_Specialty]]&amp;"-"&amp;Table1[[#This Row],[Code]]</f>
        <v>Psychiatry &amp; Neurology: Sports Medicine-2084S0010X</v>
      </c>
      <c r="U636" s="16" t="str">
        <f ca="1">IFERROR(VLOOKUP(ROWS($U$1:U635),$R$2:$S$918,2,FALSE),"")</f>
        <v>Psychiatry &amp; Neurology: Sports Medicine-2084S0010X</v>
      </c>
    </row>
    <row r="637" spans="1:21" x14ac:dyDescent="0.3">
      <c r="A637" s="21" t="s">
        <v>931</v>
      </c>
      <c r="B637" s="21" t="str">
        <f>Table1[[#This Row],[Code]]&amp;" "&amp;Table1[[#This Row],[Portico_Specialty]]</f>
        <v>2084V0102X Psychiatry &amp; Neurology: Vascular Neurology</v>
      </c>
      <c r="C637" s="21" t="str">
        <f>CLEAN(Table1[[#This Row],[Code]])</f>
        <v>2084V0102X</v>
      </c>
      <c r="D637" s="1" t="s">
        <v>932</v>
      </c>
      <c r="E637" s="1"/>
      <c r="F637" s="1" t="s">
        <v>2587</v>
      </c>
      <c r="G637" s="4" t="s">
        <v>2593</v>
      </c>
      <c r="H637" s="1" t="s">
        <v>2701</v>
      </c>
      <c r="I637" s="1"/>
      <c r="J637" s="1" t="s">
        <v>2701</v>
      </c>
      <c r="K637" s="1" t="s">
        <v>2831</v>
      </c>
      <c r="L637" s="1" t="s">
        <v>2701</v>
      </c>
      <c r="M637" s="1" t="s">
        <v>2701</v>
      </c>
      <c r="N637" s="1" t="s">
        <v>2701</v>
      </c>
      <c r="O637" s="1" t="s">
        <v>2831</v>
      </c>
      <c r="P637" s="9"/>
      <c r="R637" s="16">
        <f ca="1">IF(ISNUMBER(SEARCH(INDIRECT(CELL("address")),S637)),MAX($R$1:R636)+1,0)</f>
        <v>636</v>
      </c>
      <c r="S637" s="18" t="str">
        <f>Table1[[#This Row],[Portico_Specialty]]&amp;"-"&amp;Table1[[#This Row],[Code]]</f>
        <v>Psychiatry &amp; Neurology: Vascular Neurology-2084V0102X</v>
      </c>
      <c r="U637" s="16" t="str">
        <f ca="1">IFERROR(VLOOKUP(ROWS($U$1:U636),$R$2:$S$918,2,FALSE),"")</f>
        <v>Psychiatry &amp; Neurology: Vascular Neurology-2084V0102X</v>
      </c>
    </row>
    <row r="638" spans="1:21" x14ac:dyDescent="0.3">
      <c r="A638" s="21" t="s">
        <v>133</v>
      </c>
      <c r="B638" s="21" t="str">
        <f>Table1[[#This Row],[Code]]&amp;" "&amp;Table1[[#This Row],[Portico_Specialty]]</f>
        <v>102L00000X Psychoanalyst</v>
      </c>
      <c r="C638" s="21" t="str">
        <f>CLEAN(Table1[[#This Row],[Code]])</f>
        <v>102L00000X</v>
      </c>
      <c r="D638" s="1" t="s">
        <v>134</v>
      </c>
      <c r="E638" s="1"/>
      <c r="F638" s="1" t="s">
        <v>2607</v>
      </c>
      <c r="G638" s="3" t="s">
        <v>2588</v>
      </c>
      <c r="H638" s="1" t="s">
        <v>2615</v>
      </c>
      <c r="I638" s="1"/>
      <c r="J638" s="1" t="s">
        <v>2692</v>
      </c>
      <c r="K638" s="1" t="s">
        <v>2612</v>
      </c>
      <c r="L638" s="1" t="s">
        <v>2612</v>
      </c>
      <c r="M638" s="1" t="s">
        <v>2612</v>
      </c>
      <c r="N638" s="1"/>
      <c r="O638" s="1" t="s">
        <v>2612</v>
      </c>
      <c r="P638" s="9"/>
      <c r="R638" s="16">
        <f ca="1">IF(ISNUMBER(SEARCH(INDIRECT(CELL("address")),S638)),MAX($R$1:R637)+1,0)</f>
        <v>637</v>
      </c>
      <c r="S638" s="18" t="str">
        <f>Table1[[#This Row],[Portico_Specialty]]&amp;"-"&amp;Table1[[#This Row],[Code]]</f>
        <v>Psychoanalyst-102L00000X</v>
      </c>
      <c r="U638" s="16" t="str">
        <f ca="1">IFERROR(VLOOKUP(ROWS($U$1:U637),$R$2:$S$918,2,FALSE),"")</f>
        <v>Psychoanalyst-102L00000X</v>
      </c>
    </row>
    <row r="639" spans="1:21" x14ac:dyDescent="0.3">
      <c r="A639" s="21" t="s">
        <v>144</v>
      </c>
      <c r="B639" s="21" t="str">
        <f>Table1[[#This Row],[Code]]&amp;" "&amp;Table1[[#This Row],[Portico_Specialty]]</f>
        <v>103T00000X Psychologist</v>
      </c>
      <c r="C639" s="21" t="str">
        <f>CLEAN(Table1[[#This Row],[Code]])</f>
        <v>103T00000X</v>
      </c>
      <c r="D639" s="1" t="s">
        <v>145</v>
      </c>
      <c r="E639" s="1"/>
      <c r="F639" s="1" t="s">
        <v>2607</v>
      </c>
      <c r="G639" s="4" t="s">
        <v>2593</v>
      </c>
      <c r="H639" s="1" t="s">
        <v>2833</v>
      </c>
      <c r="I639" s="1"/>
      <c r="J639" s="1" t="s">
        <v>2833</v>
      </c>
      <c r="K639" s="1" t="s">
        <v>2833</v>
      </c>
      <c r="L639" s="1" t="s">
        <v>2833</v>
      </c>
      <c r="M639" s="1" t="s">
        <v>2833</v>
      </c>
      <c r="N639" s="1" t="s">
        <v>2833</v>
      </c>
      <c r="O639" s="1" t="s">
        <v>2833</v>
      </c>
      <c r="P639" s="9"/>
      <c r="R639" s="16">
        <f ca="1">IF(ISNUMBER(SEARCH(INDIRECT(CELL("address")),S639)),MAX($R$1:R638)+1,0)</f>
        <v>638</v>
      </c>
      <c r="S639" s="18" t="str">
        <f>Table1[[#This Row],[Portico_Specialty]]&amp;"-"&amp;Table1[[#This Row],[Code]]</f>
        <v>Psychologist-103T00000X</v>
      </c>
      <c r="U639" s="16" t="str">
        <f ca="1">IFERROR(VLOOKUP(ROWS($U$1:U638),$R$2:$S$918,2,FALSE),"")</f>
        <v>Psychologist-103T00000X</v>
      </c>
    </row>
    <row r="640" spans="1:21" x14ac:dyDescent="0.3">
      <c r="A640" s="21" t="s">
        <v>2616</v>
      </c>
      <c r="B640" s="21" t="str">
        <f>Table1[[#This Row],[Code]]&amp;" "&amp;Table1[[#This Row],[Portico_Specialty]]</f>
        <v>AltSpec1 Psychologist Dual 399</v>
      </c>
      <c r="C640" s="21" t="str">
        <f>CLEAN(Table1[[#This Row],[Code]])</f>
        <v>AltSpec1</v>
      </c>
      <c r="D640" s="1" t="s">
        <v>2834</v>
      </c>
      <c r="E640" s="1"/>
      <c r="F640" s="1" t="s">
        <v>2587</v>
      </c>
      <c r="G640" s="3" t="s">
        <v>2588</v>
      </c>
      <c r="H640" s="1"/>
      <c r="I640" s="1"/>
      <c r="J640" s="1"/>
      <c r="K640" s="1" t="s">
        <v>2835</v>
      </c>
      <c r="L640" s="1"/>
      <c r="M640" s="1"/>
      <c r="N640" s="1"/>
      <c r="O640" s="1"/>
      <c r="P640" s="9"/>
      <c r="R640" s="16">
        <f ca="1">IF(ISNUMBER(SEARCH(INDIRECT(CELL("address")),S640)),MAX($R$1:R639)+1,0)</f>
        <v>639</v>
      </c>
      <c r="S640" s="18" t="str">
        <f>Table1[[#This Row],[Portico_Specialty]]&amp;"-"&amp;Table1[[#This Row],[Code]]</f>
        <v>Psychologist Dual 399-AltSpec1</v>
      </c>
      <c r="U640" s="16" t="str">
        <f ca="1">IFERROR(VLOOKUP(ROWS($U$1:U639),$R$2:$S$918,2,FALSE),"")</f>
        <v>Psychologist Dual 399-AltSpec1</v>
      </c>
    </row>
    <row r="641" spans="1:24" x14ac:dyDescent="0.3">
      <c r="A641" s="21" t="s">
        <v>2616</v>
      </c>
      <c r="B641" s="21" t="str">
        <f>Table1[[#This Row],[Code]]&amp;" "&amp;Table1[[#This Row],[Portico_Specialty]]</f>
        <v>AltSpec1 Psychologist Dual 699</v>
      </c>
      <c r="C641" s="21" t="str">
        <f>CLEAN(Table1[[#This Row],[Code]])</f>
        <v>AltSpec1</v>
      </c>
      <c r="D641" s="1" t="s">
        <v>2836</v>
      </c>
      <c r="E641" s="1"/>
      <c r="F641" s="1" t="s">
        <v>2587</v>
      </c>
      <c r="G641" s="3" t="s">
        <v>2588</v>
      </c>
      <c r="H641" s="1"/>
      <c r="I641" s="1"/>
      <c r="J641" s="1"/>
      <c r="K641" s="1" t="s">
        <v>2837</v>
      </c>
      <c r="L641" s="1"/>
      <c r="M641" s="1"/>
      <c r="N641" s="1"/>
      <c r="O641" s="1"/>
      <c r="P641" s="9"/>
      <c r="R641" s="16">
        <f ca="1">IF(ISNUMBER(SEARCH(INDIRECT(CELL("address")),S641)),MAX($R$1:R640)+1,0)</f>
        <v>640</v>
      </c>
      <c r="S641" s="18" t="str">
        <f>Table1[[#This Row],[Portico_Specialty]]&amp;"-"&amp;Table1[[#This Row],[Code]]</f>
        <v>Psychologist Dual 699-AltSpec1</v>
      </c>
      <c r="U641" s="16" t="str">
        <f ca="1">IFERROR(VLOOKUP(ROWS($U$1:U640),$R$2:$S$918,2,FALSE),"")</f>
        <v>Psychologist Dual 699-AltSpec1</v>
      </c>
    </row>
    <row r="642" spans="1:24" ht="30.75" x14ac:dyDescent="0.3">
      <c r="A642" s="21" t="s">
        <v>146</v>
      </c>
      <c r="B642" s="21" t="str">
        <f>Table1[[#This Row],[Code]]&amp;" "&amp;Table1[[#This Row],[Portico_Specialty]]</f>
        <v>103TA0400X Psychologist: Addiction (Substance Use Disorder)</v>
      </c>
      <c r="C642" s="21" t="str">
        <f>CLEAN(Table1[[#This Row],[Code]])</f>
        <v>103TA0400X</v>
      </c>
      <c r="D642" s="1" t="s">
        <v>147</v>
      </c>
      <c r="E642" s="1"/>
      <c r="F642" s="1" t="s">
        <v>2607</v>
      </c>
      <c r="G642" s="4" t="s">
        <v>2593</v>
      </c>
      <c r="H642" s="1" t="s">
        <v>2833</v>
      </c>
      <c r="I642" s="1"/>
      <c r="J642" s="1" t="s">
        <v>2833</v>
      </c>
      <c r="K642" s="1" t="s">
        <v>2833</v>
      </c>
      <c r="L642" s="1" t="s">
        <v>2833</v>
      </c>
      <c r="M642" s="1" t="s">
        <v>2833</v>
      </c>
      <c r="N642" s="1" t="s">
        <v>2833</v>
      </c>
      <c r="O642" s="1" t="s">
        <v>2833</v>
      </c>
      <c r="P642" s="9"/>
      <c r="R642" s="16">
        <f ca="1">IF(ISNUMBER(SEARCH(INDIRECT(CELL("address")),S642)),MAX($R$1:R641)+1,0)</f>
        <v>641</v>
      </c>
      <c r="S642" s="18" t="str">
        <f>Table1[[#This Row],[Portico_Specialty]]&amp;"-"&amp;Table1[[#This Row],[Code]]</f>
        <v>Psychologist: Addiction (Substance Use Disorder)-103TA0400X</v>
      </c>
      <c r="U642" s="16" t="str">
        <f ca="1">IFERROR(VLOOKUP(ROWS($U$1:U641),$R$2:$S$918,2,FALSE),"")</f>
        <v>Psychologist: Addiction (Substance Use Disorder)-103TA0400X</v>
      </c>
    </row>
    <row r="643" spans="1:24" x14ac:dyDescent="0.3">
      <c r="A643" s="21" t="s">
        <v>148</v>
      </c>
      <c r="B643" s="21" t="str">
        <f>Table1[[#This Row],[Code]]&amp;" "&amp;Table1[[#This Row],[Portico_Specialty]]</f>
        <v>103TA0700X Psychologist: Adult Development &amp; Aging</v>
      </c>
      <c r="C643" s="21" t="str">
        <f>CLEAN(Table1[[#This Row],[Code]])</f>
        <v>103TA0700X</v>
      </c>
      <c r="D643" s="1" t="s">
        <v>149</v>
      </c>
      <c r="E643" s="1"/>
      <c r="F643" s="1" t="s">
        <v>2607</v>
      </c>
      <c r="G643" s="4" t="s">
        <v>2593</v>
      </c>
      <c r="H643" s="1" t="s">
        <v>2833</v>
      </c>
      <c r="I643" s="1"/>
      <c r="J643" s="1" t="s">
        <v>2833</v>
      </c>
      <c r="K643" s="1" t="s">
        <v>2833</v>
      </c>
      <c r="L643" s="1" t="s">
        <v>2833</v>
      </c>
      <c r="M643" s="1" t="s">
        <v>2833</v>
      </c>
      <c r="N643" s="1" t="s">
        <v>2833</v>
      </c>
      <c r="O643" s="1" t="s">
        <v>2833</v>
      </c>
      <c r="P643" s="9"/>
      <c r="R643" s="16">
        <f ca="1">IF(ISNUMBER(SEARCH(INDIRECT(CELL("address")),S643)),MAX($R$1:R642)+1,0)</f>
        <v>642</v>
      </c>
      <c r="S643" s="18" t="str">
        <f>Table1[[#This Row],[Portico_Specialty]]&amp;"-"&amp;Table1[[#This Row],[Code]]</f>
        <v>Psychologist: Adult Development &amp; Aging-103TA0700X</v>
      </c>
      <c r="U643" s="16" t="str">
        <f ca="1">IFERROR(VLOOKUP(ROWS($U$1:U642),$R$2:$S$918,2,FALSE),"")</f>
        <v>Psychologist: Adult Development &amp; Aging-103TA0700X</v>
      </c>
    </row>
    <row r="644" spans="1:24" x14ac:dyDescent="0.3">
      <c r="A644" s="21" t="s">
        <v>152</v>
      </c>
      <c r="B644" s="21" t="str">
        <f>Table1[[#This Row],[Code]]&amp;" "&amp;Table1[[#This Row],[Portico_Specialty]]</f>
        <v>103TC0700X Psychologist: Clinical</v>
      </c>
      <c r="C644" s="21" t="str">
        <f>CLEAN(Table1[[#This Row],[Code]])</f>
        <v>103TC0700X</v>
      </c>
      <c r="D644" s="1" t="s">
        <v>153</v>
      </c>
      <c r="E644" s="1"/>
      <c r="F644" s="1" t="s">
        <v>2607</v>
      </c>
      <c r="G644" s="4" t="s">
        <v>2593</v>
      </c>
      <c r="H644" s="1" t="s">
        <v>2668</v>
      </c>
      <c r="I644" s="1"/>
      <c r="J644" s="1" t="s">
        <v>2668</v>
      </c>
      <c r="K644" s="1" t="s">
        <v>2668</v>
      </c>
      <c r="L644" s="1" t="s">
        <v>2668</v>
      </c>
      <c r="M644" s="1" t="s">
        <v>2668</v>
      </c>
      <c r="N644" s="1" t="s">
        <v>2833</v>
      </c>
      <c r="O644" s="1" t="s">
        <v>2668</v>
      </c>
      <c r="P644" s="9"/>
      <c r="R644" s="16">
        <f ca="1">IF(ISNUMBER(SEARCH(INDIRECT(CELL("address")),S644)),MAX($R$1:R643)+1,0)</f>
        <v>643</v>
      </c>
      <c r="S644" s="18" t="str">
        <f>Table1[[#This Row],[Portico_Specialty]]&amp;"-"&amp;Table1[[#This Row],[Code]]</f>
        <v>Psychologist: Clinical-103TC0700X</v>
      </c>
      <c r="U644" s="16" t="str">
        <f ca="1">IFERROR(VLOOKUP(ROWS($U$1:U643),$R$2:$S$918,2,FALSE),"")</f>
        <v>Psychologist: Clinical-103TC0700X</v>
      </c>
    </row>
    <row r="645" spans="1:24" x14ac:dyDescent="0.3">
      <c r="A645" s="21" t="s">
        <v>156</v>
      </c>
      <c r="B645" s="21" t="str">
        <f>Table1[[#This Row],[Code]]&amp;" "&amp;Table1[[#This Row],[Portico_Specialty]]</f>
        <v>103TC2200X Psychologist: Clinical Child &amp; Adolescent</v>
      </c>
      <c r="C645" s="21" t="str">
        <f>CLEAN(Table1[[#This Row],[Code]])</f>
        <v>103TC2200X</v>
      </c>
      <c r="D645" s="1" t="s">
        <v>157</v>
      </c>
      <c r="E645" s="1"/>
      <c r="F645" s="1" t="s">
        <v>2607</v>
      </c>
      <c r="G645" s="4" t="s">
        <v>2593</v>
      </c>
      <c r="H645" s="1" t="s">
        <v>2668</v>
      </c>
      <c r="I645" s="1"/>
      <c r="J645" s="1" t="s">
        <v>2668</v>
      </c>
      <c r="K645" s="1" t="s">
        <v>2668</v>
      </c>
      <c r="L645" s="1" t="s">
        <v>2668</v>
      </c>
      <c r="M645" s="1" t="s">
        <v>2668</v>
      </c>
      <c r="N645" s="1" t="s">
        <v>2833</v>
      </c>
      <c r="O645" s="1" t="s">
        <v>2668</v>
      </c>
      <c r="P645" s="9"/>
      <c r="R645" s="16">
        <f ca="1">IF(ISNUMBER(SEARCH(INDIRECT(CELL("address")),S645)),MAX($R$1:R644)+1,0)</f>
        <v>644</v>
      </c>
      <c r="S645" s="18" t="str">
        <f>Table1[[#This Row],[Portico_Specialty]]&amp;"-"&amp;Table1[[#This Row],[Code]]</f>
        <v>Psychologist: Clinical Child &amp; Adolescent-103TC2200X</v>
      </c>
      <c r="U645" s="16" t="str">
        <f ca="1">IFERROR(VLOOKUP(ROWS($U$1:U644),$R$2:$S$918,2,FALSE),"")</f>
        <v>Psychologist: Clinical Child &amp; Adolescent-103TC2200X</v>
      </c>
    </row>
    <row r="646" spans="1:24" x14ac:dyDescent="0.3">
      <c r="A646" s="21" t="s">
        <v>150</v>
      </c>
      <c r="B646" s="21" t="str">
        <f>Table1[[#This Row],[Code]]&amp;" "&amp;Table1[[#This Row],[Portico_Specialty]]</f>
        <v>103TB0200X Psychologist: Cognitive &amp; Behavioral</v>
      </c>
      <c r="C646" s="21" t="str">
        <f>CLEAN(Table1[[#This Row],[Code]])</f>
        <v>103TB0200X</v>
      </c>
      <c r="D646" s="1" t="s">
        <v>151</v>
      </c>
      <c r="E646" s="1"/>
      <c r="F646" s="1" t="s">
        <v>2607</v>
      </c>
      <c r="G646" s="4" t="s">
        <v>2593</v>
      </c>
      <c r="H646" s="1" t="s">
        <v>2833</v>
      </c>
      <c r="I646" s="1"/>
      <c r="J646" s="1" t="s">
        <v>2833</v>
      </c>
      <c r="K646" s="1" t="s">
        <v>2833</v>
      </c>
      <c r="L646" s="1" t="s">
        <v>2833</v>
      </c>
      <c r="M646" s="1" t="s">
        <v>2833</v>
      </c>
      <c r="N646" s="1" t="s">
        <v>2833</v>
      </c>
      <c r="O646" s="1" t="s">
        <v>2833</v>
      </c>
      <c r="P646" s="9"/>
      <c r="R646" s="16">
        <f ca="1">IF(ISNUMBER(SEARCH(INDIRECT(CELL("address")),S646)),MAX($R$1:R645)+1,0)</f>
        <v>645</v>
      </c>
      <c r="S646" s="18" t="str">
        <f>Table1[[#This Row],[Portico_Specialty]]&amp;"-"&amp;Table1[[#This Row],[Code]]</f>
        <v>Psychologist: Cognitive &amp; Behavioral-103TB0200X</v>
      </c>
      <c r="U646" s="16" t="str">
        <f ca="1">IFERROR(VLOOKUP(ROWS($U$1:U645),$R$2:$S$918,2,FALSE),"")</f>
        <v>Psychologist: Cognitive &amp; Behavioral-103TB0200X</v>
      </c>
    </row>
    <row r="647" spans="1:24" x14ac:dyDescent="0.3">
      <c r="A647" s="21" t="s">
        <v>154</v>
      </c>
      <c r="B647" s="21" t="str">
        <f>Table1[[#This Row],[Code]]&amp;" "&amp;Table1[[#This Row],[Portico_Specialty]]</f>
        <v>103TC1900X Psychologist: Counseling</v>
      </c>
      <c r="C647" s="21" t="str">
        <f>CLEAN(Table1[[#This Row],[Code]])</f>
        <v>103TC1900X</v>
      </c>
      <c r="D647" s="1" t="s">
        <v>155</v>
      </c>
      <c r="E647" s="1"/>
      <c r="F647" s="1" t="s">
        <v>2607</v>
      </c>
      <c r="G647" s="4" t="s">
        <v>2593</v>
      </c>
      <c r="H647" s="1" t="s">
        <v>2833</v>
      </c>
      <c r="I647" s="1"/>
      <c r="J647" s="1" t="s">
        <v>2833</v>
      </c>
      <c r="K647" s="1" t="s">
        <v>2833</v>
      </c>
      <c r="L647" s="1" t="s">
        <v>2833</v>
      </c>
      <c r="M647" s="1" t="s">
        <v>2833</v>
      </c>
      <c r="N647" s="1" t="s">
        <v>2833</v>
      </c>
      <c r="O647" s="1" t="s">
        <v>2833</v>
      </c>
      <c r="P647" s="9"/>
      <c r="R647" s="16">
        <f ca="1">IF(ISNUMBER(SEARCH(INDIRECT(CELL("address")),S647)),MAX($R$1:R646)+1,0)</f>
        <v>646</v>
      </c>
      <c r="S647" s="18" t="str">
        <f>Table1[[#This Row],[Portico_Specialty]]&amp;"-"&amp;Table1[[#This Row],[Code]]</f>
        <v>Psychologist: Counseling-103TC1900X</v>
      </c>
      <c r="U647" s="16" t="str">
        <f ca="1">IFERROR(VLOOKUP(ROWS($U$1:U646),$R$2:$S$918,2,FALSE),"")</f>
        <v>Psychologist: Counseling-103TC1900X</v>
      </c>
    </row>
    <row r="648" spans="1:24" x14ac:dyDescent="0.3">
      <c r="A648" s="21" t="s">
        <v>158</v>
      </c>
      <c r="B648" s="21" t="str">
        <f>Table1[[#This Row],[Code]]&amp;" "&amp;Table1[[#This Row],[Portico_Specialty]]</f>
        <v>103TE1000X Psychologist: Educational</v>
      </c>
      <c r="C648" s="21" t="str">
        <f>CLEAN(Table1[[#This Row],[Code]])</f>
        <v>103TE1000X</v>
      </c>
      <c r="D648" s="1" t="s">
        <v>159</v>
      </c>
      <c r="E648" s="1"/>
      <c r="F648" s="1" t="s">
        <v>2607</v>
      </c>
      <c r="G648" s="4" t="s">
        <v>2593</v>
      </c>
      <c r="H648" s="1" t="s">
        <v>2833</v>
      </c>
      <c r="I648" s="1"/>
      <c r="J648" s="1" t="s">
        <v>2833</v>
      </c>
      <c r="K648" s="1" t="s">
        <v>2833</v>
      </c>
      <c r="L648" s="1" t="s">
        <v>2833</v>
      </c>
      <c r="M648" s="1" t="s">
        <v>2833</v>
      </c>
      <c r="N648" s="1" t="s">
        <v>2833</v>
      </c>
      <c r="O648" s="1" t="s">
        <v>2833</v>
      </c>
      <c r="P648" s="9"/>
      <c r="R648" s="16">
        <f ca="1">IF(ISNUMBER(SEARCH(INDIRECT(CELL("address")),S648)),MAX($R$1:R647)+1,0)</f>
        <v>647</v>
      </c>
      <c r="S648" s="18" t="str">
        <f>Table1[[#This Row],[Portico_Specialty]]&amp;"-"&amp;Table1[[#This Row],[Code]]</f>
        <v>Psychologist: Educational-103TE1000X</v>
      </c>
      <c r="U648" s="16" t="str">
        <f ca="1">IFERROR(VLOOKUP(ROWS($U$1:U647),$R$2:$S$918,2,FALSE),"")</f>
        <v>Psychologist: Educational-103TE1000X</v>
      </c>
    </row>
    <row r="649" spans="1:24" x14ac:dyDescent="0.3">
      <c r="A649" s="21" t="s">
        <v>160</v>
      </c>
      <c r="B649" s="21" t="str">
        <f>Table1[[#This Row],[Code]]&amp;" "&amp;Table1[[#This Row],[Portico_Specialty]]</f>
        <v>103TE1100X Psychologist: Exercise &amp; Sports</v>
      </c>
      <c r="C649" s="21" t="str">
        <f>CLEAN(Table1[[#This Row],[Code]])</f>
        <v>103TE1100X</v>
      </c>
      <c r="D649" s="1" t="s">
        <v>161</v>
      </c>
      <c r="E649" s="1"/>
      <c r="F649" s="1" t="s">
        <v>2607</v>
      </c>
      <c r="G649" s="4" t="s">
        <v>2593</v>
      </c>
      <c r="H649" s="1" t="s">
        <v>2833</v>
      </c>
      <c r="I649" s="1"/>
      <c r="J649" s="1" t="s">
        <v>2833</v>
      </c>
      <c r="K649" s="1" t="s">
        <v>2833</v>
      </c>
      <c r="L649" s="1" t="s">
        <v>2833</v>
      </c>
      <c r="M649" s="1" t="s">
        <v>2833</v>
      </c>
      <c r="N649" s="1" t="s">
        <v>2833</v>
      </c>
      <c r="O649" s="1" t="s">
        <v>2833</v>
      </c>
      <c r="P649" s="9"/>
      <c r="R649" s="16">
        <f ca="1">IF(ISNUMBER(SEARCH(INDIRECT(CELL("address")),S649)),MAX($R$1:R648)+1,0)</f>
        <v>648</v>
      </c>
      <c r="S649" s="18" t="str">
        <f>Table1[[#This Row],[Portico_Specialty]]&amp;"-"&amp;Table1[[#This Row],[Code]]</f>
        <v>Psychologist: Exercise &amp; Sports-103TE1100X</v>
      </c>
      <c r="U649" s="16" t="str">
        <f ca="1">IFERROR(VLOOKUP(ROWS($U$1:U648),$R$2:$S$918,2,FALSE),"")</f>
        <v>Psychologist: Exercise &amp; Sports-103TE1100X</v>
      </c>
    </row>
    <row r="650" spans="1:24" x14ac:dyDescent="0.3">
      <c r="A650" s="21" t="s">
        <v>162</v>
      </c>
      <c r="B650" s="21" t="str">
        <f>Table1[[#This Row],[Code]]&amp;" "&amp;Table1[[#This Row],[Portico_Specialty]]</f>
        <v>103TF0000X Psychologist: Family</v>
      </c>
      <c r="C650" s="21" t="str">
        <f>CLEAN(Table1[[#This Row],[Code]])</f>
        <v>103TF0000X</v>
      </c>
      <c r="D650" s="1" t="s">
        <v>163</v>
      </c>
      <c r="E650" s="1"/>
      <c r="F650" s="1" t="s">
        <v>2607</v>
      </c>
      <c r="G650" s="4" t="s">
        <v>2593</v>
      </c>
      <c r="H650" s="1" t="s">
        <v>2833</v>
      </c>
      <c r="I650" s="1"/>
      <c r="J650" s="1" t="s">
        <v>2833</v>
      </c>
      <c r="K650" s="1" t="s">
        <v>2833</v>
      </c>
      <c r="L650" s="1" t="s">
        <v>2833</v>
      </c>
      <c r="M650" s="1" t="s">
        <v>2833</v>
      </c>
      <c r="N650" s="1" t="s">
        <v>2833</v>
      </c>
      <c r="O650" s="1" t="s">
        <v>2833</v>
      </c>
      <c r="P650" s="9"/>
      <c r="Q650" s="1"/>
      <c r="R650" s="16">
        <f ca="1">IF(ISNUMBER(SEARCH(INDIRECT(CELL("address")),S650)),MAX($R$1:R649)+1,0)</f>
        <v>649</v>
      </c>
      <c r="S650" s="18" t="str">
        <f>Table1[[#This Row],[Portico_Specialty]]&amp;"-"&amp;Table1[[#This Row],[Code]]</f>
        <v>Psychologist: Family-103TF0000X</v>
      </c>
      <c r="T650" s="18"/>
      <c r="U650" s="16" t="str">
        <f ca="1">IFERROR(VLOOKUP(ROWS($U$1:U649),$R$2:$S$918,2,FALSE),"")</f>
        <v>Psychologist: Family-103TF0000X</v>
      </c>
      <c r="V650" s="18"/>
      <c r="W650" s="1"/>
      <c r="X650" s="1"/>
    </row>
    <row r="651" spans="1:24" x14ac:dyDescent="0.3">
      <c r="A651" s="21" t="s">
        <v>164</v>
      </c>
      <c r="B651" s="21" t="str">
        <f>Table1[[#This Row],[Code]]&amp;" "&amp;Table1[[#This Row],[Portico_Specialty]]</f>
        <v>103TF0200X Psychologist: Forensic</v>
      </c>
      <c r="C651" s="21" t="str">
        <f>CLEAN(Table1[[#This Row],[Code]])</f>
        <v>103TF0200X</v>
      </c>
      <c r="D651" s="1" t="s">
        <v>165</v>
      </c>
      <c r="E651" s="1"/>
      <c r="F651" s="1" t="s">
        <v>2607</v>
      </c>
      <c r="G651" s="4" t="s">
        <v>2593</v>
      </c>
      <c r="H651" s="1" t="s">
        <v>2833</v>
      </c>
      <c r="I651" s="1"/>
      <c r="J651" s="1" t="s">
        <v>2833</v>
      </c>
      <c r="K651" s="1" t="s">
        <v>2833</v>
      </c>
      <c r="L651" s="1" t="s">
        <v>2833</v>
      </c>
      <c r="M651" s="1" t="s">
        <v>2833</v>
      </c>
      <c r="N651" s="1" t="s">
        <v>2833</v>
      </c>
      <c r="O651" s="1" t="s">
        <v>2833</v>
      </c>
      <c r="P651" s="9"/>
      <c r="Q651" s="1"/>
      <c r="R651" s="16">
        <f ca="1">IF(ISNUMBER(SEARCH(INDIRECT(CELL("address")),S651)),MAX($R$1:R650)+1,0)</f>
        <v>650</v>
      </c>
      <c r="S651" s="18" t="str">
        <f>Table1[[#This Row],[Portico_Specialty]]&amp;"-"&amp;Table1[[#This Row],[Code]]</f>
        <v>Psychologist: Forensic-103TF0200X</v>
      </c>
      <c r="T651" s="18"/>
      <c r="U651" s="16" t="str">
        <f ca="1">IFERROR(VLOOKUP(ROWS($U$1:U650),$R$2:$S$918,2,FALSE),"")</f>
        <v>Psychologist: Forensic-103TF0200X</v>
      </c>
      <c r="V651" s="18"/>
      <c r="W651" s="1"/>
      <c r="X651" s="1"/>
    </row>
    <row r="652" spans="1:24" x14ac:dyDescent="0.3">
      <c r="A652" s="21" t="s">
        <v>180</v>
      </c>
      <c r="B652" s="21" t="str">
        <f>Table1[[#This Row],[Code]]&amp;" "&amp;Table1[[#This Row],[Portico_Specialty]]</f>
        <v>103TP2701X Psychologist: Group Psychotherapy</v>
      </c>
      <c r="C652" s="21" t="str">
        <f>CLEAN(Table1[[#This Row],[Code]])</f>
        <v>103TP2701X</v>
      </c>
      <c r="D652" s="1" t="s">
        <v>181</v>
      </c>
      <c r="E652" s="1"/>
      <c r="F652" s="1" t="s">
        <v>2607</v>
      </c>
      <c r="G652" s="4" t="s">
        <v>2593</v>
      </c>
      <c r="H652" s="1" t="s">
        <v>2833</v>
      </c>
      <c r="I652" s="1"/>
      <c r="J652" s="1" t="s">
        <v>2833</v>
      </c>
      <c r="K652" s="1" t="s">
        <v>2833</v>
      </c>
      <c r="L652" s="1" t="s">
        <v>2833</v>
      </c>
      <c r="M652" s="1" t="s">
        <v>2833</v>
      </c>
      <c r="N652" s="1" t="s">
        <v>2833</v>
      </c>
      <c r="O652" s="1" t="s">
        <v>2833</v>
      </c>
      <c r="P652" s="9"/>
      <c r="R652" s="16">
        <f ca="1">IF(ISNUMBER(SEARCH(INDIRECT(CELL("address")),S652)),MAX($R$1:R651)+1,0)</f>
        <v>651</v>
      </c>
      <c r="S652" s="18" t="str">
        <f>Table1[[#This Row],[Portico_Specialty]]&amp;"-"&amp;Table1[[#This Row],[Code]]</f>
        <v>Psychologist: Group Psychotherapy-103TP2701X</v>
      </c>
      <c r="U652" s="16" t="str">
        <f ca="1">IFERROR(VLOOKUP(ROWS($U$1:U651),$R$2:$S$918,2,FALSE),"")</f>
        <v>Psychologist: Group Psychotherapy-103TP2701X</v>
      </c>
    </row>
    <row r="653" spans="1:24" x14ac:dyDescent="0.3">
      <c r="A653" s="21" t="s">
        <v>166</v>
      </c>
      <c r="B653" s="21" t="str">
        <f>Table1[[#This Row],[Code]]&amp;" "&amp;Table1[[#This Row],[Portico_Specialty]]</f>
        <v>103TH0004X Psychologist: Health</v>
      </c>
      <c r="C653" s="21" t="str">
        <f>CLEAN(Table1[[#This Row],[Code]])</f>
        <v>103TH0004X</v>
      </c>
      <c r="D653" s="1" t="s">
        <v>167</v>
      </c>
      <c r="E653" s="1"/>
      <c r="F653" s="1" t="s">
        <v>2607</v>
      </c>
      <c r="G653" s="4" t="s">
        <v>2593</v>
      </c>
      <c r="H653" s="1" t="s">
        <v>2833</v>
      </c>
      <c r="I653" s="1"/>
      <c r="J653" s="1" t="s">
        <v>2833</v>
      </c>
      <c r="K653" s="1" t="s">
        <v>2833</v>
      </c>
      <c r="L653" s="1" t="s">
        <v>2833</v>
      </c>
      <c r="M653" s="1" t="s">
        <v>2833</v>
      </c>
      <c r="N653" s="1" t="s">
        <v>2833</v>
      </c>
      <c r="O653" s="1" t="s">
        <v>2833</v>
      </c>
      <c r="P653" s="9"/>
      <c r="R653" s="16">
        <f ca="1">IF(ISNUMBER(SEARCH(INDIRECT(CELL("address")),S653)),MAX($R$1:R652)+1,0)</f>
        <v>652</v>
      </c>
      <c r="S653" s="18" t="str">
        <f>Table1[[#This Row],[Portico_Specialty]]&amp;"-"&amp;Table1[[#This Row],[Code]]</f>
        <v>Psychologist: Health-103TH0004X</v>
      </c>
      <c r="U653" s="16" t="str">
        <f ca="1">IFERROR(VLOOKUP(ROWS($U$1:U652),$R$2:$S$918,2,FALSE),"")</f>
        <v>Psychologist: Health-103TH0004X</v>
      </c>
    </row>
    <row r="654" spans="1:24" x14ac:dyDescent="0.3">
      <c r="A654" s="21" t="s">
        <v>168</v>
      </c>
      <c r="B654" s="21" t="str">
        <f>Table1[[#This Row],[Code]]&amp;" "&amp;Table1[[#This Row],[Portico_Specialty]]</f>
        <v>103TH0100X Psychologist: Health Service</v>
      </c>
      <c r="C654" s="21" t="str">
        <f>CLEAN(Table1[[#This Row],[Code]])</f>
        <v>103TH0100X</v>
      </c>
      <c r="D654" s="1" t="s">
        <v>169</v>
      </c>
      <c r="E654" s="1"/>
      <c r="F654" s="1" t="s">
        <v>2607</v>
      </c>
      <c r="G654" s="4" t="s">
        <v>2593</v>
      </c>
      <c r="H654" s="1" t="s">
        <v>2833</v>
      </c>
      <c r="I654" s="1"/>
      <c r="J654" s="1" t="s">
        <v>2833</v>
      </c>
      <c r="K654" s="1" t="s">
        <v>2833</v>
      </c>
      <c r="L654" s="1" t="s">
        <v>2833</v>
      </c>
      <c r="M654" s="1" t="s">
        <v>2833</v>
      </c>
      <c r="N654" s="1" t="s">
        <v>2833</v>
      </c>
      <c r="O654" s="1" t="s">
        <v>2833</v>
      </c>
      <c r="P654" s="9"/>
      <c r="R654" s="16">
        <f ca="1">IF(ISNUMBER(SEARCH(INDIRECT(CELL("address")),S654)),MAX($R$1:R653)+1,0)</f>
        <v>653</v>
      </c>
      <c r="S654" s="18" t="str">
        <f>Table1[[#This Row],[Portico_Specialty]]&amp;"-"&amp;Table1[[#This Row],[Code]]</f>
        <v>Psychologist: Health Service-103TH0100X</v>
      </c>
      <c r="U654" s="16" t="str">
        <f ca="1">IFERROR(VLOOKUP(ROWS($U$1:U653),$R$2:$S$918,2,FALSE),"")</f>
        <v>Psychologist: Health Service-103TH0100X</v>
      </c>
    </row>
    <row r="655" spans="1:24" x14ac:dyDescent="0.3">
      <c r="A655" s="21" t="s">
        <v>170</v>
      </c>
      <c r="B655" s="21" t="str">
        <f>Table1[[#This Row],[Code]]&amp;" "&amp;Table1[[#This Row],[Portico_Specialty]]</f>
        <v>103TM1700X Psychologist: Men &amp; Masculinity</v>
      </c>
      <c r="C655" s="21" t="str">
        <f>CLEAN(Table1[[#This Row],[Code]])</f>
        <v>103TM1700X</v>
      </c>
      <c r="D655" s="1" t="s">
        <v>171</v>
      </c>
      <c r="E655" s="1"/>
      <c r="F655" s="1" t="s">
        <v>2607</v>
      </c>
      <c r="G655" s="4" t="s">
        <v>2593</v>
      </c>
      <c r="H655" s="1" t="s">
        <v>2833</v>
      </c>
      <c r="I655" s="1"/>
      <c r="J655" s="1" t="s">
        <v>2833</v>
      </c>
      <c r="K655" s="1" t="s">
        <v>2833</v>
      </c>
      <c r="L655" s="1" t="s">
        <v>2833</v>
      </c>
      <c r="M655" s="1" t="s">
        <v>2833</v>
      </c>
      <c r="N655" s="1" t="s">
        <v>2833</v>
      </c>
      <c r="O655" s="1" t="s">
        <v>2833</v>
      </c>
      <c r="P655" s="9"/>
      <c r="R655" s="16">
        <f ca="1">IF(ISNUMBER(SEARCH(INDIRECT(CELL("address")),S655)),MAX($R$1:R654)+1,0)</f>
        <v>654</v>
      </c>
      <c r="S655" s="18" t="str">
        <f>Table1[[#This Row],[Portico_Specialty]]&amp;"-"&amp;Table1[[#This Row],[Code]]</f>
        <v>Psychologist: Men &amp; Masculinity-103TM1700X</v>
      </c>
      <c r="U655" s="16" t="str">
        <f ca="1">IFERROR(VLOOKUP(ROWS($U$1:U654),$R$2:$S$918,2,FALSE),"")</f>
        <v>Psychologist: Men &amp; Masculinity-103TM1700X</v>
      </c>
    </row>
    <row r="656" spans="1:24" ht="30.75" x14ac:dyDescent="0.3">
      <c r="A656" s="21" t="s">
        <v>172</v>
      </c>
      <c r="B656" s="21" t="str">
        <f>Table1[[#This Row],[Code]]&amp;" "&amp;Table1[[#This Row],[Portico_Specialty]]</f>
        <v>103TM1800X Psychologist: Mental Retardation &amp; Developmental Disabilities</v>
      </c>
      <c r="C656" s="21" t="str">
        <f>CLEAN(Table1[[#This Row],[Code]])</f>
        <v>103TM1800X</v>
      </c>
      <c r="D656" s="1" t="s">
        <v>173</v>
      </c>
      <c r="E656" s="1"/>
      <c r="F656" s="1" t="s">
        <v>2607</v>
      </c>
      <c r="G656" s="4" t="s">
        <v>2593</v>
      </c>
      <c r="H656" s="1" t="s">
        <v>2833</v>
      </c>
      <c r="I656" s="1"/>
      <c r="J656" s="1" t="s">
        <v>2833</v>
      </c>
      <c r="K656" s="1" t="s">
        <v>2833</v>
      </c>
      <c r="L656" s="1" t="s">
        <v>2833</v>
      </c>
      <c r="M656" s="1" t="s">
        <v>2833</v>
      </c>
      <c r="N656" s="1" t="s">
        <v>2833</v>
      </c>
      <c r="O656" s="1" t="s">
        <v>2833</v>
      </c>
      <c r="P656" s="9"/>
      <c r="R656" s="16">
        <f ca="1">IF(ISNUMBER(SEARCH(INDIRECT(CELL("address")),S656)),MAX($R$1:R655)+1,0)</f>
        <v>655</v>
      </c>
      <c r="S656" s="18" t="str">
        <f>Table1[[#This Row],[Portico_Specialty]]&amp;"-"&amp;Table1[[#This Row],[Code]]</f>
        <v>Psychologist: Mental Retardation &amp; Developmental Disabilities-103TM1800X</v>
      </c>
      <c r="U656" s="16" t="str">
        <f ca="1">IFERROR(VLOOKUP(ROWS($U$1:U655),$R$2:$S$918,2,FALSE),"")</f>
        <v>Psychologist: Mental Retardation &amp; Developmental Disabilities-103TM1800X</v>
      </c>
    </row>
    <row r="657" spans="1:21" x14ac:dyDescent="0.3">
      <c r="A657" s="21" t="s">
        <v>174</v>
      </c>
      <c r="B657" s="21" t="str">
        <f>Table1[[#This Row],[Code]]&amp;" "&amp;Table1[[#This Row],[Portico_Specialty]]</f>
        <v>103TP0016X Psychologist: Prescribing (Medical)</v>
      </c>
      <c r="C657" s="21" t="str">
        <f>CLEAN(Table1[[#This Row],[Code]])</f>
        <v>103TP0016X</v>
      </c>
      <c r="D657" s="1" t="s">
        <v>175</v>
      </c>
      <c r="E657" s="1"/>
      <c r="F657" s="1" t="s">
        <v>2607</v>
      </c>
      <c r="G657" s="4" t="s">
        <v>2593</v>
      </c>
      <c r="H657" s="1" t="s">
        <v>2833</v>
      </c>
      <c r="I657" s="1"/>
      <c r="J657" s="1" t="s">
        <v>2833</v>
      </c>
      <c r="K657" s="1" t="s">
        <v>2833</v>
      </c>
      <c r="L657" s="1" t="s">
        <v>2833</v>
      </c>
      <c r="M657" s="1" t="s">
        <v>2833</v>
      </c>
      <c r="N657" s="1" t="s">
        <v>2833</v>
      </c>
      <c r="O657" s="1" t="s">
        <v>2833</v>
      </c>
      <c r="P657" s="9"/>
      <c r="R657" s="16">
        <f ca="1">IF(ISNUMBER(SEARCH(INDIRECT(CELL("address")),S657)),MAX($R$1:R656)+1,0)</f>
        <v>656</v>
      </c>
      <c r="S657" s="18" t="str">
        <f>Table1[[#This Row],[Portico_Specialty]]&amp;"-"&amp;Table1[[#This Row],[Code]]</f>
        <v>Psychologist: Prescribing (Medical)-103TP0016X</v>
      </c>
      <c r="U657" s="16" t="str">
        <f ca="1">IFERROR(VLOOKUP(ROWS($U$1:U656),$R$2:$S$918,2,FALSE),"")</f>
        <v>Psychologist: Prescribing (Medical)-103TP0016X</v>
      </c>
    </row>
    <row r="658" spans="1:21" x14ac:dyDescent="0.3">
      <c r="A658" s="21" t="s">
        <v>176</v>
      </c>
      <c r="B658" s="21" t="str">
        <f>Table1[[#This Row],[Code]]&amp;" "&amp;Table1[[#This Row],[Portico_Specialty]]</f>
        <v>103TP0814X Psychologist: Psychoanalysis</v>
      </c>
      <c r="C658" s="21" t="str">
        <f>CLEAN(Table1[[#This Row],[Code]])</f>
        <v>103TP0814X</v>
      </c>
      <c r="D658" s="1" t="s">
        <v>177</v>
      </c>
      <c r="E658" s="1"/>
      <c r="F658" s="1" t="s">
        <v>2607</v>
      </c>
      <c r="G658" s="4" t="s">
        <v>2593</v>
      </c>
      <c r="H658" s="1" t="s">
        <v>2833</v>
      </c>
      <c r="I658" s="1"/>
      <c r="J658" s="1" t="s">
        <v>2833</v>
      </c>
      <c r="K658" s="1" t="s">
        <v>2833</v>
      </c>
      <c r="L658" s="1" t="s">
        <v>2833</v>
      </c>
      <c r="M658" s="1" t="s">
        <v>2833</v>
      </c>
      <c r="N658" s="1" t="s">
        <v>2833</v>
      </c>
      <c r="O658" s="1" t="s">
        <v>2833</v>
      </c>
      <c r="P658" s="9"/>
      <c r="R658" s="16">
        <f ca="1">IF(ISNUMBER(SEARCH(INDIRECT(CELL("address")),S658)),MAX($R$1:R657)+1,0)</f>
        <v>657</v>
      </c>
      <c r="S658" s="18" t="str">
        <f>Table1[[#This Row],[Portico_Specialty]]&amp;"-"&amp;Table1[[#This Row],[Code]]</f>
        <v>Psychologist: Psychoanalysis-103TP0814X</v>
      </c>
      <c r="U658" s="16" t="str">
        <f ca="1">IFERROR(VLOOKUP(ROWS($U$1:U657),$R$2:$S$918,2,FALSE),"")</f>
        <v>Psychologist: Psychoanalysis-103TP0814X</v>
      </c>
    </row>
    <row r="659" spans="1:21" x14ac:dyDescent="0.3">
      <c r="A659" s="21" t="s">
        <v>178</v>
      </c>
      <c r="B659" s="21" t="str">
        <f>Table1[[#This Row],[Code]]&amp;" "&amp;Table1[[#This Row],[Portico_Specialty]]</f>
        <v>103TP2700X Psychologist: Psychotherapy</v>
      </c>
      <c r="C659" s="21" t="str">
        <f>CLEAN(Table1[[#This Row],[Code]])</f>
        <v>103TP2700X</v>
      </c>
      <c r="D659" s="1" t="s">
        <v>179</v>
      </c>
      <c r="E659" s="1"/>
      <c r="F659" s="1" t="s">
        <v>2607</v>
      </c>
      <c r="G659" s="4" t="s">
        <v>2593</v>
      </c>
      <c r="H659" s="1" t="s">
        <v>2833</v>
      </c>
      <c r="I659" s="1"/>
      <c r="J659" s="1" t="s">
        <v>2833</v>
      </c>
      <c r="K659" s="1" t="s">
        <v>2833</v>
      </c>
      <c r="L659" s="1" t="s">
        <v>2833</v>
      </c>
      <c r="M659" s="1" t="s">
        <v>2833</v>
      </c>
      <c r="N659" s="1" t="s">
        <v>2833</v>
      </c>
      <c r="O659" s="1" t="s">
        <v>2833</v>
      </c>
      <c r="P659" s="9"/>
      <c r="R659" s="16">
        <f ca="1">IF(ISNUMBER(SEARCH(INDIRECT(CELL("address")),S659)),MAX($R$1:R658)+1,0)</f>
        <v>658</v>
      </c>
      <c r="S659" s="18" t="str">
        <f>Table1[[#This Row],[Portico_Specialty]]&amp;"-"&amp;Table1[[#This Row],[Code]]</f>
        <v>Psychologist: Psychotherapy-103TP2700X</v>
      </c>
      <c r="U659" s="16" t="str">
        <f ca="1">IFERROR(VLOOKUP(ROWS($U$1:U658),$R$2:$S$918,2,FALSE),"")</f>
        <v>Psychologist: Psychotherapy-103TP2700X</v>
      </c>
    </row>
    <row r="660" spans="1:21" x14ac:dyDescent="0.3">
      <c r="A660" s="21" t="s">
        <v>182</v>
      </c>
      <c r="B660" s="21" t="str">
        <f>Table1[[#This Row],[Code]]&amp;" "&amp;Table1[[#This Row],[Portico_Specialty]]</f>
        <v>103TR0400X Psychologist: Rehabilitation</v>
      </c>
      <c r="C660" s="21" t="str">
        <f>CLEAN(Table1[[#This Row],[Code]])</f>
        <v>103TR0400X</v>
      </c>
      <c r="D660" s="1" t="s">
        <v>183</v>
      </c>
      <c r="E660" s="1"/>
      <c r="F660" s="1" t="s">
        <v>2607</v>
      </c>
      <c r="G660" s="4" t="s">
        <v>2593</v>
      </c>
      <c r="H660" s="1" t="s">
        <v>2833</v>
      </c>
      <c r="I660" s="1"/>
      <c r="J660" s="1" t="s">
        <v>2833</v>
      </c>
      <c r="K660" s="1" t="s">
        <v>2833</v>
      </c>
      <c r="L660" s="1" t="s">
        <v>2833</v>
      </c>
      <c r="M660" s="1" t="s">
        <v>2833</v>
      </c>
      <c r="N660" s="1" t="s">
        <v>2833</v>
      </c>
      <c r="O660" s="1" t="s">
        <v>2833</v>
      </c>
      <c r="P660" s="9"/>
      <c r="R660" s="16">
        <f ca="1">IF(ISNUMBER(SEARCH(INDIRECT(CELL("address")),S660)),MAX($R$1:R659)+1,0)</f>
        <v>659</v>
      </c>
      <c r="S660" s="18" t="str">
        <f>Table1[[#This Row],[Portico_Specialty]]&amp;"-"&amp;Table1[[#This Row],[Code]]</f>
        <v>Psychologist: Rehabilitation-103TR0400X</v>
      </c>
      <c r="U660" s="16" t="str">
        <f ca="1">IFERROR(VLOOKUP(ROWS($U$1:U659),$R$2:$S$918,2,FALSE),"")</f>
        <v>Psychologist: Rehabilitation-103TR0400X</v>
      </c>
    </row>
    <row r="661" spans="1:21" x14ac:dyDescent="0.3">
      <c r="A661" s="21" t="s">
        <v>184</v>
      </c>
      <c r="B661" s="21" t="str">
        <f>Table1[[#This Row],[Code]]&amp;" "&amp;Table1[[#This Row],[Portico_Specialty]]</f>
        <v>103TS0200X Psychologist: School</v>
      </c>
      <c r="C661" s="21" t="str">
        <f>CLEAN(Table1[[#This Row],[Code]])</f>
        <v>103TS0200X</v>
      </c>
      <c r="D661" s="1" t="s">
        <v>185</v>
      </c>
      <c r="E661" s="1"/>
      <c r="F661" s="1" t="s">
        <v>2607</v>
      </c>
      <c r="G661" s="4" t="s">
        <v>2593</v>
      </c>
      <c r="H661" s="1" t="s">
        <v>2833</v>
      </c>
      <c r="I661" s="1"/>
      <c r="J661" s="1" t="s">
        <v>2833</v>
      </c>
      <c r="K661" s="1" t="s">
        <v>2833</v>
      </c>
      <c r="L661" s="1" t="s">
        <v>2833</v>
      </c>
      <c r="M661" s="1" t="s">
        <v>2833</v>
      </c>
      <c r="N661" s="1" t="s">
        <v>2833</v>
      </c>
      <c r="O661" s="1" t="s">
        <v>2833</v>
      </c>
      <c r="P661" s="9"/>
      <c r="R661" s="16">
        <f ca="1">IF(ISNUMBER(SEARCH(INDIRECT(CELL("address")),S661)),MAX($R$1:R660)+1,0)</f>
        <v>660</v>
      </c>
      <c r="S661" s="18" t="str">
        <f>Table1[[#This Row],[Portico_Specialty]]&amp;"-"&amp;Table1[[#This Row],[Code]]</f>
        <v>Psychologist: School-103TS0200X</v>
      </c>
      <c r="U661" s="16" t="str">
        <f ca="1">IFERROR(VLOOKUP(ROWS($U$1:U660),$R$2:$S$918,2,FALSE),"")</f>
        <v>Psychologist: School-103TS0200X</v>
      </c>
    </row>
    <row r="662" spans="1:21" x14ac:dyDescent="0.3">
      <c r="A662" s="21" t="s">
        <v>186</v>
      </c>
      <c r="B662" s="21" t="str">
        <f>Table1[[#This Row],[Code]]&amp;" "&amp;Table1[[#This Row],[Portico_Specialty]]</f>
        <v>103TW0100X Psychologist: Women</v>
      </c>
      <c r="C662" s="21" t="str">
        <f>CLEAN(Table1[[#This Row],[Code]])</f>
        <v>103TW0100X</v>
      </c>
      <c r="D662" s="1" t="s">
        <v>187</v>
      </c>
      <c r="E662" s="1"/>
      <c r="F662" s="1" t="s">
        <v>2607</v>
      </c>
      <c r="G662" s="4" t="s">
        <v>2593</v>
      </c>
      <c r="H662" s="1" t="s">
        <v>2833</v>
      </c>
      <c r="I662" s="1"/>
      <c r="J662" s="1" t="s">
        <v>2833</v>
      </c>
      <c r="K662" s="1" t="s">
        <v>2833</v>
      </c>
      <c r="L662" s="1" t="s">
        <v>2833</v>
      </c>
      <c r="M662" s="1" t="s">
        <v>2833</v>
      </c>
      <c r="N662" s="1" t="s">
        <v>2833</v>
      </c>
      <c r="O662" s="1" t="s">
        <v>2833</v>
      </c>
      <c r="P662" s="9"/>
      <c r="R662" s="16">
        <f ca="1">IF(ISNUMBER(SEARCH(INDIRECT(CELL("address")),S662)),MAX($R$1:R661)+1,0)</f>
        <v>661</v>
      </c>
      <c r="S662" s="18" t="str">
        <f>Table1[[#This Row],[Portico_Specialty]]&amp;"-"&amp;Table1[[#This Row],[Code]]</f>
        <v>Psychologist: Women-103TW0100X</v>
      </c>
      <c r="U662" s="16" t="str">
        <f ca="1">IFERROR(VLOOKUP(ROWS($U$1:U661),$R$2:$S$918,2,FALSE),"")</f>
        <v>Psychologist: Women-103TW0100X</v>
      </c>
    </row>
    <row r="663" spans="1:21" x14ac:dyDescent="0.3">
      <c r="A663" s="21" t="s">
        <v>2616</v>
      </c>
      <c r="B663" s="21" t="str">
        <f>Table1[[#This Row],[Code]]&amp;" "&amp;Table1[[#This Row],[Portico_Specialty]]</f>
        <v>AltSpec1 Psychology Assistant - HCBS</v>
      </c>
      <c r="C663" s="21" t="str">
        <f>CLEAN(Table1[[#This Row],[Code]])</f>
        <v>AltSpec1</v>
      </c>
      <c r="D663" s="1" t="s">
        <v>2838</v>
      </c>
      <c r="E663" s="1"/>
      <c r="F663" s="1" t="s">
        <v>2587</v>
      </c>
      <c r="G663" s="3" t="s">
        <v>2588</v>
      </c>
      <c r="H663" s="1"/>
      <c r="I663" s="1"/>
      <c r="J663" s="1"/>
      <c r="K663" s="1" t="s">
        <v>2839</v>
      </c>
      <c r="L663" s="1"/>
      <c r="M663" s="1"/>
      <c r="N663" s="1"/>
      <c r="O663" s="1"/>
      <c r="P663" s="9"/>
      <c r="R663" s="16">
        <f ca="1">IF(ISNUMBER(SEARCH(INDIRECT(CELL("address")),S663)),MAX($R$1:R662)+1,0)</f>
        <v>662</v>
      </c>
      <c r="S663" s="18" t="str">
        <f>Table1[[#This Row],[Portico_Specialty]]&amp;"-"&amp;Table1[[#This Row],[Code]]</f>
        <v>Psychology Assistant - HCBS-AltSpec1</v>
      </c>
      <c r="U663" s="16" t="str">
        <f ca="1">IFERROR(VLOOKUP(ROWS($U$1:U662),$R$2:$S$918,2,FALSE),"")</f>
        <v>Psychology Assistant - HCBS-AltSpec1</v>
      </c>
    </row>
    <row r="664" spans="1:21" x14ac:dyDescent="0.3">
      <c r="A664" s="21" t="s">
        <v>2616</v>
      </c>
      <c r="B664" s="21" t="str">
        <f>Table1[[#This Row],[Code]]&amp;" "&amp;Table1[[#This Row],[Portico_Specialty]]</f>
        <v>AltSpec1 Psychology Assistant Dual 399</v>
      </c>
      <c r="C664" s="21" t="str">
        <f>CLEAN(Table1[[#This Row],[Code]])</f>
        <v>AltSpec1</v>
      </c>
      <c r="D664" s="1" t="s">
        <v>2840</v>
      </c>
      <c r="E664" s="1"/>
      <c r="F664" s="1" t="s">
        <v>2587</v>
      </c>
      <c r="G664" s="3" t="s">
        <v>2588</v>
      </c>
      <c r="H664" s="1"/>
      <c r="I664" s="1"/>
      <c r="J664" s="1"/>
      <c r="K664" s="1" t="s">
        <v>2841</v>
      </c>
      <c r="L664" s="1"/>
      <c r="M664" s="1"/>
      <c r="N664" s="1"/>
      <c r="O664" s="1"/>
      <c r="P664" s="9"/>
      <c r="R664" s="16">
        <f ca="1">IF(ISNUMBER(SEARCH(INDIRECT(CELL("address")),S664)),MAX($R$1:R663)+1,0)</f>
        <v>663</v>
      </c>
      <c r="S664" s="18" t="str">
        <f>Table1[[#This Row],[Portico_Specialty]]&amp;"-"&amp;Table1[[#This Row],[Code]]</f>
        <v>Psychology Assistant Dual 399-AltSpec1</v>
      </c>
      <c r="U664" s="16" t="str">
        <f ca="1">IFERROR(VLOOKUP(ROWS($U$1:U663),$R$2:$S$918,2,FALSE),"")</f>
        <v>Psychology Assistant Dual 399-AltSpec1</v>
      </c>
    </row>
    <row r="665" spans="1:21" x14ac:dyDescent="0.3">
      <c r="A665" s="21" t="s">
        <v>2616</v>
      </c>
      <c r="B665" s="21" t="str">
        <f>Table1[[#This Row],[Code]]&amp;" "&amp;Table1[[#This Row],[Portico_Specialty]]</f>
        <v>AltSpec1 Psychology Assistant Dual 699</v>
      </c>
      <c r="C665" s="21" t="str">
        <f>CLEAN(Table1[[#This Row],[Code]])</f>
        <v>AltSpec1</v>
      </c>
      <c r="D665" s="1" t="s">
        <v>2842</v>
      </c>
      <c r="E665" s="1"/>
      <c r="F665" s="1" t="s">
        <v>2587</v>
      </c>
      <c r="G665" s="3" t="s">
        <v>2588</v>
      </c>
      <c r="H665" s="1"/>
      <c r="I665" s="1"/>
      <c r="J665" s="1"/>
      <c r="K665" s="1" t="s">
        <v>2843</v>
      </c>
      <c r="L665" s="1"/>
      <c r="M665" s="1"/>
      <c r="N665" s="1"/>
      <c r="O665" s="1"/>
      <c r="P665" s="9"/>
      <c r="R665" s="16">
        <f ca="1">IF(ISNUMBER(SEARCH(INDIRECT(CELL("address")),S665)),MAX($R$1:R664)+1,0)</f>
        <v>664</v>
      </c>
      <c r="S665" s="18" t="str">
        <f>Table1[[#This Row],[Portico_Specialty]]&amp;"-"&amp;Table1[[#This Row],[Code]]</f>
        <v>Psychology Assistant Dual 699-AltSpec1</v>
      </c>
      <c r="U665" s="16" t="str">
        <f ca="1">IFERROR(VLOOKUP(ROWS($U$1:U664),$R$2:$S$918,2,FALSE),"")</f>
        <v>Psychology Assistant Dual 699-AltSpec1</v>
      </c>
    </row>
    <row r="666" spans="1:21" x14ac:dyDescent="0.3">
      <c r="A666" s="21" t="s">
        <v>2616</v>
      </c>
      <c r="B666" s="21" t="str">
        <f>Table1[[#This Row],[Code]]&amp;" "&amp;Table1[[#This Row],[Portico_Specialty]]</f>
        <v>AltSpec1 Psychology Intern - HCBS</v>
      </c>
      <c r="C666" s="21" t="str">
        <f>CLEAN(Table1[[#This Row],[Code]])</f>
        <v>AltSpec1</v>
      </c>
      <c r="D666" s="1" t="s">
        <v>2844</v>
      </c>
      <c r="E666" s="1"/>
      <c r="F666" s="1" t="s">
        <v>2587</v>
      </c>
      <c r="G666" s="3" t="s">
        <v>2588</v>
      </c>
      <c r="H666" s="1"/>
      <c r="I666" s="1"/>
      <c r="J666" s="1"/>
      <c r="K666" s="1" t="s">
        <v>2845</v>
      </c>
      <c r="L666" s="1"/>
      <c r="M666" s="1"/>
      <c r="N666" s="1"/>
      <c r="O666" s="1"/>
      <c r="P666" s="9"/>
      <c r="R666" s="16">
        <f ca="1">IF(ISNUMBER(SEARCH(INDIRECT(CELL("address")),S666)),MAX($R$1:R665)+1,0)</f>
        <v>665</v>
      </c>
      <c r="S666" s="18" t="str">
        <f>Table1[[#This Row],[Portico_Specialty]]&amp;"-"&amp;Table1[[#This Row],[Code]]</f>
        <v>Psychology Intern - HCBS-AltSpec1</v>
      </c>
      <c r="U666" s="16" t="str">
        <f ca="1">IFERROR(VLOOKUP(ROWS($U$1:U665),$R$2:$S$918,2,FALSE),"")</f>
        <v>Psychology Intern - HCBS-AltSpec1</v>
      </c>
    </row>
    <row r="667" spans="1:21" x14ac:dyDescent="0.3">
      <c r="A667" s="21" t="s">
        <v>2616</v>
      </c>
      <c r="B667" s="21" t="str">
        <f>Table1[[#This Row],[Code]]&amp;" "&amp;Table1[[#This Row],[Portico_Specialty]]</f>
        <v>AltSpec1 Psychology Trainee - HCBS</v>
      </c>
      <c r="C667" s="21" t="str">
        <f>CLEAN(Table1[[#This Row],[Code]])</f>
        <v>AltSpec1</v>
      </c>
      <c r="D667" s="1" t="s">
        <v>2846</v>
      </c>
      <c r="E667" s="1"/>
      <c r="F667" s="1" t="s">
        <v>2587</v>
      </c>
      <c r="G667" s="3" t="s">
        <v>2588</v>
      </c>
      <c r="H667" s="1"/>
      <c r="I667" s="1"/>
      <c r="J667" s="1"/>
      <c r="K667" s="1" t="s">
        <v>2847</v>
      </c>
      <c r="L667" s="1"/>
      <c r="M667" s="1"/>
      <c r="N667" s="1"/>
      <c r="O667" s="1"/>
      <c r="P667" s="9"/>
      <c r="R667" s="16">
        <f ca="1">IF(ISNUMBER(SEARCH(INDIRECT(CELL("address")),S667)),MAX($R$1:R666)+1,0)</f>
        <v>666</v>
      </c>
      <c r="S667" s="18" t="str">
        <f>Table1[[#This Row],[Portico_Specialty]]&amp;"-"&amp;Table1[[#This Row],[Code]]</f>
        <v>Psychology Trainee - HCBS-AltSpec1</v>
      </c>
      <c r="U667" s="16" t="str">
        <f ca="1">IFERROR(VLOOKUP(ROWS($U$1:U666),$R$2:$S$918,2,FALSE),"")</f>
        <v>Psychology Trainee - HCBS-AltSpec1</v>
      </c>
    </row>
    <row r="668" spans="1:21" x14ac:dyDescent="0.3">
      <c r="A668" s="21" t="s">
        <v>1343</v>
      </c>
      <c r="B668" s="21" t="str">
        <f>Table1[[#This Row],[Code]]&amp;" "&amp;Table1[[#This Row],[Portico_Specialty]]</f>
        <v>251K00000X Public Health or Welfare</v>
      </c>
      <c r="C668" s="21" t="str">
        <f>CLEAN(Table1[[#This Row],[Code]])</f>
        <v>251K00000X</v>
      </c>
      <c r="D668" s="1" t="s">
        <v>1344</v>
      </c>
      <c r="E668" s="1"/>
      <c r="F668" s="1" t="s">
        <v>2587</v>
      </c>
      <c r="G668" s="4" t="s">
        <v>2593</v>
      </c>
      <c r="H668" s="1" t="s">
        <v>2703</v>
      </c>
      <c r="I668" s="1"/>
      <c r="J668" s="1" t="s">
        <v>2621</v>
      </c>
      <c r="K668" s="1" t="s">
        <v>2621</v>
      </c>
      <c r="L668" s="1" t="s">
        <v>2703</v>
      </c>
      <c r="M668" s="1" t="s">
        <v>2703</v>
      </c>
      <c r="N668" s="1" t="s">
        <v>2703</v>
      </c>
      <c r="O668" s="1" t="s">
        <v>2621</v>
      </c>
      <c r="P668" s="9"/>
      <c r="R668" s="16">
        <f ca="1">IF(ISNUMBER(SEARCH(INDIRECT(CELL("address")),S668)),MAX($R$1:R667)+1,0)</f>
        <v>667</v>
      </c>
      <c r="S668" s="18" t="str">
        <f>Table1[[#This Row],[Portico_Specialty]]&amp;"-"&amp;Table1[[#This Row],[Code]]</f>
        <v>Public Health or Welfare-251K00000X</v>
      </c>
      <c r="U668" s="16" t="str">
        <f ca="1">IFERROR(VLOOKUP(ROWS($U$1:U667),$R$2:$S$918,2,FALSE),"")</f>
        <v>Public Health or Welfare-251K00000X</v>
      </c>
    </row>
    <row r="669" spans="1:21" x14ac:dyDescent="0.3">
      <c r="A669" s="21" t="s">
        <v>1081</v>
      </c>
      <c r="B669" s="21" t="str">
        <f>Table1[[#This Row],[Code]]&amp;" "&amp;Table1[[#This Row],[Portico_Specialty]]</f>
        <v>225B00000X Pulmonary Function Technologist</v>
      </c>
      <c r="C669" s="21" t="str">
        <f>CLEAN(Table1[[#This Row],[Code]])</f>
        <v>225B00000X</v>
      </c>
      <c r="D669" s="1" t="s">
        <v>1082</v>
      </c>
      <c r="E669" s="1"/>
      <c r="F669" s="1" t="s">
        <v>2587</v>
      </c>
      <c r="G669" s="3" t="s">
        <v>2588</v>
      </c>
      <c r="H669" s="1" t="s">
        <v>2600</v>
      </c>
      <c r="I669" s="1"/>
      <c r="J669" s="1" t="s">
        <v>2590</v>
      </c>
      <c r="K669" s="1" t="s">
        <v>2730</v>
      </c>
      <c r="L669" s="1" t="s">
        <v>2600</v>
      </c>
      <c r="M669" s="1"/>
      <c r="N669" s="1"/>
      <c r="O669" s="1" t="s">
        <v>2730</v>
      </c>
      <c r="P669" s="9"/>
      <c r="R669" s="16">
        <f ca="1">IF(ISNUMBER(SEARCH(INDIRECT(CELL("address")),S669)),MAX($R$1:R668)+1,0)</f>
        <v>668</v>
      </c>
      <c r="S669" s="18" t="str">
        <f>Table1[[#This Row],[Portico_Specialty]]&amp;"-"&amp;Table1[[#This Row],[Code]]</f>
        <v>Pulmonary Function Technologist-225B00000X</v>
      </c>
      <c r="U669" s="16" t="str">
        <f ca="1">IFERROR(VLOOKUP(ROWS($U$1:U668),$R$2:$S$918,2,FALSE),"")</f>
        <v>Pulmonary Function Technologist-225B00000X</v>
      </c>
    </row>
    <row r="670" spans="1:21" x14ac:dyDescent="0.3">
      <c r="A670" s="21" t="s">
        <v>2616</v>
      </c>
      <c r="B670" s="21" t="str">
        <f>Table1[[#This Row],[Code]]&amp;" "&amp;Table1[[#This Row],[Portico_Specialty]]</f>
        <v>AltSpec1 Qualified MH Specialist - HCBS</v>
      </c>
      <c r="C670" s="21" t="str">
        <f>CLEAN(Table1[[#This Row],[Code]])</f>
        <v>AltSpec1</v>
      </c>
      <c r="D670" s="1" t="s">
        <v>2848</v>
      </c>
      <c r="E670" s="1"/>
      <c r="F670" s="1" t="s">
        <v>2587</v>
      </c>
      <c r="G670" s="3" t="s">
        <v>2588</v>
      </c>
      <c r="H670" s="1"/>
      <c r="I670" s="1"/>
      <c r="J670" s="1"/>
      <c r="K670" s="1" t="s">
        <v>2849</v>
      </c>
      <c r="L670" s="1"/>
      <c r="M670" s="1"/>
      <c r="N670" s="1"/>
      <c r="O670" s="1"/>
      <c r="P670" s="9"/>
      <c r="R670" s="16">
        <f ca="1">IF(ISNUMBER(SEARCH(INDIRECT(CELL("address")),S670)),MAX($R$1:R669)+1,0)</f>
        <v>669</v>
      </c>
      <c r="S670" s="18" t="str">
        <f>Table1[[#This Row],[Portico_Specialty]]&amp;"-"&amp;Table1[[#This Row],[Code]]</f>
        <v>Qualified MH Specialist - HCBS-AltSpec1</v>
      </c>
      <c r="U670" s="16" t="str">
        <f ca="1">IFERROR(VLOOKUP(ROWS($U$1:U669),$R$2:$S$918,2,FALSE),"")</f>
        <v>Qualified MH Specialist - HCBS-AltSpec1</v>
      </c>
    </row>
    <row r="671" spans="1:21" x14ac:dyDescent="0.3">
      <c r="A671" s="21" t="s">
        <v>2616</v>
      </c>
      <c r="B671" s="21" t="str">
        <f>Table1[[#This Row],[Code]]&amp;" "&amp;Table1[[#This Row],[Portico_Specialty]]</f>
        <v>AltSpec1 Qualified MH Specialist 3 - HCBS</v>
      </c>
      <c r="C671" s="21" t="str">
        <f>CLEAN(Table1[[#This Row],[Code]])</f>
        <v>AltSpec1</v>
      </c>
      <c r="D671" s="1" t="s">
        <v>2850</v>
      </c>
      <c r="E671" s="1"/>
      <c r="F671" s="1" t="s">
        <v>2587</v>
      </c>
      <c r="G671" s="3" t="s">
        <v>2588</v>
      </c>
      <c r="H671" s="1"/>
      <c r="I671" s="1"/>
      <c r="J671" s="1"/>
      <c r="K671" s="1" t="s">
        <v>2851</v>
      </c>
      <c r="L671" s="1"/>
      <c r="M671" s="1"/>
      <c r="N671" s="1"/>
      <c r="O671" s="1"/>
      <c r="P671" s="9"/>
      <c r="R671" s="16">
        <f ca="1">IF(ISNUMBER(SEARCH(INDIRECT(CELL("address")),S671)),MAX($R$1:R670)+1,0)</f>
        <v>670</v>
      </c>
      <c r="S671" s="18" t="str">
        <f>Table1[[#This Row],[Portico_Specialty]]&amp;"-"&amp;Table1[[#This Row],[Code]]</f>
        <v>Qualified MH Specialist 3 - HCBS-AltSpec1</v>
      </c>
      <c r="U671" s="16" t="str">
        <f ca="1">IFERROR(VLOOKUP(ROWS($U$1:U670),$R$2:$S$918,2,FALSE),"")</f>
        <v>Qualified MH Specialist 3 - HCBS-AltSpec1</v>
      </c>
    </row>
    <row r="672" spans="1:21" x14ac:dyDescent="0.3">
      <c r="A672" s="21" t="s">
        <v>1287</v>
      </c>
      <c r="B672" s="21" t="str">
        <f>Table1[[#This Row],[Code]]&amp;" "&amp;Table1[[#This Row],[Portico_Specialty]]</f>
        <v>247100000X Radiologic Technologist</v>
      </c>
      <c r="C672" s="21" t="str">
        <f>CLEAN(Table1[[#This Row],[Code]])</f>
        <v>247100000X</v>
      </c>
      <c r="D672" s="1" t="s">
        <v>1288</v>
      </c>
      <c r="E672" s="1"/>
      <c r="F672" s="1" t="s">
        <v>2587</v>
      </c>
      <c r="G672" s="3" t="s">
        <v>2588</v>
      </c>
      <c r="H672" s="1" t="s">
        <v>2615</v>
      </c>
      <c r="I672" s="1"/>
      <c r="J672" s="1" t="s">
        <v>2590</v>
      </c>
      <c r="K672" s="1" t="s">
        <v>2653</v>
      </c>
      <c r="L672" s="1"/>
      <c r="M672" s="1" t="s">
        <v>2615</v>
      </c>
      <c r="N672" s="1"/>
      <c r="O672" s="1" t="s">
        <v>2653</v>
      </c>
      <c r="P672" s="9"/>
      <c r="R672" s="16">
        <f ca="1">IF(ISNUMBER(SEARCH(INDIRECT(CELL("address")),S672)),MAX($R$1:R671)+1,0)</f>
        <v>671</v>
      </c>
      <c r="S672" s="18" t="str">
        <f>Table1[[#This Row],[Portico_Specialty]]&amp;"-"&amp;Table1[[#This Row],[Code]]</f>
        <v>Radiologic Technologist-247100000X</v>
      </c>
      <c r="U672" s="16" t="str">
        <f ca="1">IFERROR(VLOOKUP(ROWS($U$1:U671),$R$2:$S$918,2,FALSE),"")</f>
        <v>Radiologic Technologist-247100000X</v>
      </c>
    </row>
    <row r="673" spans="1:21" ht="30.75" x14ac:dyDescent="0.3">
      <c r="A673" s="21" t="s">
        <v>1289</v>
      </c>
      <c r="B673" s="21" t="str">
        <f>Table1[[#This Row],[Code]]&amp;" "&amp;Table1[[#This Row],[Portico_Specialty]]</f>
        <v>2471B0102X Radiologic Technologist: Bone Densitometry</v>
      </c>
      <c r="C673" s="21" t="str">
        <f>CLEAN(Table1[[#This Row],[Code]])</f>
        <v>2471B0102X</v>
      </c>
      <c r="D673" s="1" t="s">
        <v>1290</v>
      </c>
      <c r="E673" s="1"/>
      <c r="F673" s="1" t="s">
        <v>2587</v>
      </c>
      <c r="G673" s="3" t="s">
        <v>2588</v>
      </c>
      <c r="H673" s="1" t="s">
        <v>2615</v>
      </c>
      <c r="I673" s="1"/>
      <c r="J673" s="1" t="s">
        <v>2590</v>
      </c>
      <c r="K673" s="1" t="s">
        <v>2653</v>
      </c>
      <c r="L673" s="1"/>
      <c r="M673" s="1"/>
      <c r="N673" s="1"/>
      <c r="O673" s="1" t="s">
        <v>2653</v>
      </c>
      <c r="P673" s="9"/>
      <c r="R673" s="16">
        <f ca="1">IF(ISNUMBER(SEARCH(INDIRECT(CELL("address")),S673)),MAX($R$1:R672)+1,0)</f>
        <v>672</v>
      </c>
      <c r="S673" s="18" t="str">
        <f>Table1[[#This Row],[Portico_Specialty]]&amp;"-"&amp;Table1[[#This Row],[Code]]</f>
        <v>Radiologic Technologist: Bone Densitometry-2471B0102X</v>
      </c>
      <c r="U673" s="16" t="str">
        <f ca="1">IFERROR(VLOOKUP(ROWS($U$1:U672),$R$2:$S$918,2,FALSE),"")</f>
        <v>Radiologic Technologist: Bone Densitometry-2471B0102X</v>
      </c>
    </row>
    <row r="674" spans="1:21" ht="30.75" x14ac:dyDescent="0.3">
      <c r="A674" s="21" t="s">
        <v>1293</v>
      </c>
      <c r="B674" s="21" t="str">
        <f>Table1[[#This Row],[Code]]&amp;" "&amp;Table1[[#This Row],[Portico_Specialty]]</f>
        <v>2471C1106X Radiologic Technologist: Cardiac-Interventional Technology</v>
      </c>
      <c r="C674" s="21" t="str">
        <f>CLEAN(Table1[[#This Row],[Code]])</f>
        <v>2471C1106X</v>
      </c>
      <c r="D674" s="1" t="s">
        <v>1294</v>
      </c>
      <c r="E674" s="1"/>
      <c r="F674" s="1" t="s">
        <v>2587</v>
      </c>
      <c r="G674" s="3" t="s">
        <v>2588</v>
      </c>
      <c r="H674" s="1" t="s">
        <v>2615</v>
      </c>
      <c r="I674" s="1"/>
      <c r="J674" s="1" t="s">
        <v>2590</v>
      </c>
      <c r="K674" s="1" t="s">
        <v>2653</v>
      </c>
      <c r="L674" s="1"/>
      <c r="M674" s="1"/>
      <c r="N674" s="1"/>
      <c r="O674" s="1" t="s">
        <v>2653</v>
      </c>
      <c r="P674" s="9"/>
      <c r="R674" s="16">
        <f ca="1">IF(ISNUMBER(SEARCH(INDIRECT(CELL("address")),S674)),MAX($R$1:R673)+1,0)</f>
        <v>673</v>
      </c>
      <c r="S674" s="18" t="str">
        <f>Table1[[#This Row],[Portico_Specialty]]&amp;"-"&amp;Table1[[#This Row],[Code]]</f>
        <v>Radiologic Technologist: Cardiac-Interventional Technology-2471C1106X</v>
      </c>
      <c r="U674" s="16" t="str">
        <f ca="1">IFERROR(VLOOKUP(ROWS($U$1:U673),$R$2:$S$918,2,FALSE),"")</f>
        <v>Radiologic Technologist: Cardiac-Interventional Technology-2471C1106X</v>
      </c>
    </row>
    <row r="675" spans="1:21" ht="30.75" x14ac:dyDescent="0.3">
      <c r="A675" s="21" t="s">
        <v>1291</v>
      </c>
      <c r="B675" s="21" t="str">
        <f>Table1[[#This Row],[Code]]&amp;" "&amp;Table1[[#This Row],[Portico_Specialty]]</f>
        <v>2471C1101X Radiologic Technologist: Cardiovascular-Interventional Technology</v>
      </c>
      <c r="C675" s="21" t="str">
        <f>CLEAN(Table1[[#This Row],[Code]])</f>
        <v>2471C1101X</v>
      </c>
      <c r="D675" s="1" t="s">
        <v>1292</v>
      </c>
      <c r="E675" s="1"/>
      <c r="F675" s="1" t="s">
        <v>2587</v>
      </c>
      <c r="G675" s="3" t="s">
        <v>2588</v>
      </c>
      <c r="H675" s="1" t="s">
        <v>2615</v>
      </c>
      <c r="I675" s="1"/>
      <c r="J675" s="1" t="s">
        <v>2590</v>
      </c>
      <c r="K675" s="1" t="s">
        <v>2653</v>
      </c>
      <c r="L675" s="1"/>
      <c r="M675" s="1" t="s">
        <v>2615</v>
      </c>
      <c r="N675" s="1"/>
      <c r="O675" s="1" t="s">
        <v>2653</v>
      </c>
      <c r="P675" s="9"/>
      <c r="R675" s="16">
        <f ca="1">IF(ISNUMBER(SEARCH(INDIRECT(CELL("address")),S675)),MAX($R$1:R674)+1,0)</f>
        <v>674</v>
      </c>
      <c r="S675" s="18" t="str">
        <f>Table1[[#This Row],[Portico_Specialty]]&amp;"-"&amp;Table1[[#This Row],[Code]]</f>
        <v>Radiologic Technologist: Cardiovascular-Interventional Technology-2471C1101X</v>
      </c>
      <c r="U675" s="16" t="str">
        <f ca="1">IFERROR(VLOOKUP(ROWS($U$1:U674),$R$2:$S$918,2,FALSE),"")</f>
        <v>Radiologic Technologist: Cardiovascular-Interventional Technology-2471C1101X</v>
      </c>
    </row>
    <row r="676" spans="1:21" ht="30.75" x14ac:dyDescent="0.3">
      <c r="A676" s="21" t="s">
        <v>1295</v>
      </c>
      <c r="B676" s="21" t="str">
        <f>Table1[[#This Row],[Code]]&amp;" "&amp;Table1[[#This Row],[Portico_Specialty]]</f>
        <v>2471C3401X Radiologic Technologist: Computed Tomography</v>
      </c>
      <c r="C676" s="21" t="str">
        <f>CLEAN(Table1[[#This Row],[Code]])</f>
        <v>2471C3401X</v>
      </c>
      <c r="D676" s="1" t="s">
        <v>1296</v>
      </c>
      <c r="E676" s="1"/>
      <c r="F676" s="1" t="s">
        <v>2587</v>
      </c>
      <c r="G676" s="3" t="s">
        <v>2588</v>
      </c>
      <c r="H676" s="1" t="s">
        <v>2615</v>
      </c>
      <c r="I676" s="1"/>
      <c r="J676" s="1" t="s">
        <v>2590</v>
      </c>
      <c r="K676" s="1" t="s">
        <v>2653</v>
      </c>
      <c r="L676" s="1"/>
      <c r="M676" s="1"/>
      <c r="N676" s="1"/>
      <c r="O676" s="1" t="s">
        <v>2653</v>
      </c>
      <c r="P676" s="9"/>
      <c r="R676" s="16">
        <f ca="1">IF(ISNUMBER(SEARCH(INDIRECT(CELL("address")),S676)),MAX($R$1:R675)+1,0)</f>
        <v>675</v>
      </c>
      <c r="S676" s="18" t="str">
        <f>Table1[[#This Row],[Portico_Specialty]]&amp;"-"&amp;Table1[[#This Row],[Code]]</f>
        <v>Radiologic Technologist: Computed Tomography-2471C3401X</v>
      </c>
      <c r="U676" s="16" t="str">
        <f ca="1">IFERROR(VLOOKUP(ROWS($U$1:U675),$R$2:$S$918,2,FALSE),"")</f>
        <v>Radiologic Technologist: Computed Tomography-2471C3401X</v>
      </c>
    </row>
    <row r="677" spans="1:21" ht="30.75" x14ac:dyDescent="0.3">
      <c r="A677" s="21" t="s">
        <v>1299</v>
      </c>
      <c r="B677" s="21" t="str">
        <f>Table1[[#This Row],[Code]]&amp;" "&amp;Table1[[#This Row],[Portico_Specialty]]</f>
        <v>2471M1202X Radiologic Technologist: Magnetic Resonance Imaging</v>
      </c>
      <c r="C677" s="21" t="str">
        <f>CLEAN(Table1[[#This Row],[Code]])</f>
        <v>2471M1202X</v>
      </c>
      <c r="D677" s="1" t="s">
        <v>1300</v>
      </c>
      <c r="E677" s="1"/>
      <c r="F677" s="1" t="s">
        <v>2587</v>
      </c>
      <c r="G677" s="3" t="s">
        <v>2588</v>
      </c>
      <c r="H677" s="1" t="s">
        <v>2615</v>
      </c>
      <c r="I677" s="1"/>
      <c r="J677" s="1" t="s">
        <v>2590</v>
      </c>
      <c r="K677" s="1" t="s">
        <v>2653</v>
      </c>
      <c r="L677" s="1"/>
      <c r="M677" s="1"/>
      <c r="N677" s="1"/>
      <c r="O677" s="1" t="s">
        <v>2653</v>
      </c>
      <c r="P677" s="9"/>
      <c r="R677" s="16">
        <f ca="1">IF(ISNUMBER(SEARCH(INDIRECT(CELL("address")),S677)),MAX($R$1:R676)+1,0)</f>
        <v>676</v>
      </c>
      <c r="S677" s="18" t="str">
        <f>Table1[[#This Row],[Portico_Specialty]]&amp;"-"&amp;Table1[[#This Row],[Code]]</f>
        <v>Radiologic Technologist: Magnetic Resonance Imaging-2471M1202X</v>
      </c>
      <c r="U677" s="16" t="str">
        <f ca="1">IFERROR(VLOOKUP(ROWS($U$1:U676),$R$2:$S$918,2,FALSE),"")</f>
        <v>Radiologic Technologist: Magnetic Resonance Imaging-2471M1202X</v>
      </c>
    </row>
    <row r="678" spans="1:21" x14ac:dyDescent="0.3">
      <c r="A678" s="21" t="s">
        <v>1301</v>
      </c>
      <c r="B678" s="21" t="str">
        <f>Table1[[#This Row],[Code]]&amp;" "&amp;Table1[[#This Row],[Portico_Specialty]]</f>
        <v>2471M2300X Radiologic Technologist: Mammography</v>
      </c>
      <c r="C678" s="21" t="str">
        <f>CLEAN(Table1[[#This Row],[Code]])</f>
        <v>2471M2300X</v>
      </c>
      <c r="D678" s="1" t="s">
        <v>1302</v>
      </c>
      <c r="E678" s="1"/>
      <c r="F678" s="1" t="s">
        <v>2587</v>
      </c>
      <c r="G678" s="3" t="s">
        <v>2588</v>
      </c>
      <c r="H678" s="1" t="s">
        <v>2615</v>
      </c>
      <c r="I678" s="1"/>
      <c r="J678" s="1" t="s">
        <v>2590</v>
      </c>
      <c r="K678" s="1" t="s">
        <v>2653</v>
      </c>
      <c r="L678" s="1"/>
      <c r="M678" s="1"/>
      <c r="N678" s="1"/>
      <c r="O678" s="1" t="s">
        <v>2653</v>
      </c>
      <c r="P678" s="9"/>
      <c r="R678" s="16">
        <f ca="1">IF(ISNUMBER(SEARCH(INDIRECT(CELL("address")),S678)),MAX($R$1:R677)+1,0)</f>
        <v>677</v>
      </c>
      <c r="S678" s="18" t="str">
        <f>Table1[[#This Row],[Portico_Specialty]]&amp;"-"&amp;Table1[[#This Row],[Code]]</f>
        <v>Radiologic Technologist: Mammography-2471M2300X</v>
      </c>
      <c r="U678" s="16" t="str">
        <f ca="1">IFERROR(VLOOKUP(ROWS($U$1:U677),$R$2:$S$918,2,FALSE),"")</f>
        <v>Radiologic Technologist: Mammography-2471M2300X</v>
      </c>
    </row>
    <row r="679" spans="1:21" ht="30.75" x14ac:dyDescent="0.3">
      <c r="A679" s="21" t="s">
        <v>1303</v>
      </c>
      <c r="B679" s="21" t="str">
        <f>Table1[[#This Row],[Code]]&amp;" "&amp;Table1[[#This Row],[Portico_Specialty]]</f>
        <v>2471N0900X Radiologic Technologist: Nuclear Medicine Technology</v>
      </c>
      <c r="C679" s="21" t="str">
        <f>CLEAN(Table1[[#This Row],[Code]])</f>
        <v>2471N0900X</v>
      </c>
      <c r="D679" s="1" t="s">
        <v>1304</v>
      </c>
      <c r="E679" s="1"/>
      <c r="F679" s="1" t="s">
        <v>2587</v>
      </c>
      <c r="G679" s="3" t="s">
        <v>2588</v>
      </c>
      <c r="H679" s="1" t="s">
        <v>2615</v>
      </c>
      <c r="I679" s="1"/>
      <c r="J679" s="1" t="s">
        <v>2590</v>
      </c>
      <c r="K679" s="1" t="s">
        <v>2653</v>
      </c>
      <c r="L679" s="1"/>
      <c r="M679" s="1"/>
      <c r="N679" s="1"/>
      <c r="O679" s="1" t="s">
        <v>2653</v>
      </c>
      <c r="P679" s="9"/>
      <c r="R679" s="16">
        <f ca="1">IF(ISNUMBER(SEARCH(INDIRECT(CELL("address")),S679)),MAX($R$1:R678)+1,0)</f>
        <v>678</v>
      </c>
      <c r="S679" s="18" t="str">
        <f>Table1[[#This Row],[Portico_Specialty]]&amp;"-"&amp;Table1[[#This Row],[Code]]</f>
        <v>Radiologic Technologist: Nuclear Medicine Technology-2471N0900X</v>
      </c>
      <c r="U679" s="16" t="str">
        <f ca="1">IFERROR(VLOOKUP(ROWS($U$1:U678),$R$2:$S$918,2,FALSE),"")</f>
        <v>Radiologic Technologist: Nuclear Medicine Technology-2471N0900X</v>
      </c>
    </row>
    <row r="680" spans="1:21" ht="30.75" x14ac:dyDescent="0.3">
      <c r="A680" s="21" t="s">
        <v>1305</v>
      </c>
      <c r="B680" s="21" t="str">
        <f>Table1[[#This Row],[Code]]&amp;" "&amp;Table1[[#This Row],[Portico_Specialty]]</f>
        <v>2471Q0001X Radiologic Technologist: Quality Management</v>
      </c>
      <c r="C680" s="21" t="str">
        <f>CLEAN(Table1[[#This Row],[Code]])</f>
        <v>2471Q0001X</v>
      </c>
      <c r="D680" s="1" t="s">
        <v>1306</v>
      </c>
      <c r="E680" s="1"/>
      <c r="F680" s="1" t="s">
        <v>2587</v>
      </c>
      <c r="G680" s="3" t="s">
        <v>2588</v>
      </c>
      <c r="H680" s="1" t="s">
        <v>2615</v>
      </c>
      <c r="I680" s="1"/>
      <c r="J680" s="1" t="s">
        <v>2590</v>
      </c>
      <c r="K680" s="1" t="s">
        <v>2653</v>
      </c>
      <c r="L680" s="1"/>
      <c r="M680" s="1"/>
      <c r="N680" s="1"/>
      <c r="O680" s="1" t="s">
        <v>2653</v>
      </c>
      <c r="P680" s="9"/>
      <c r="R680" s="16">
        <f ca="1">IF(ISNUMBER(SEARCH(INDIRECT(CELL("address")),S680)),MAX($R$1:R679)+1,0)</f>
        <v>679</v>
      </c>
      <c r="S680" s="18" t="str">
        <f>Table1[[#This Row],[Portico_Specialty]]&amp;"-"&amp;Table1[[#This Row],[Code]]</f>
        <v>Radiologic Technologist: Quality Management-2471Q0001X</v>
      </c>
      <c r="U680" s="16" t="str">
        <f ca="1">IFERROR(VLOOKUP(ROWS($U$1:U679),$R$2:$S$918,2,FALSE),"")</f>
        <v>Radiologic Technologist: Quality Management-2471Q0001X</v>
      </c>
    </row>
    <row r="681" spans="1:21" x14ac:dyDescent="0.3">
      <c r="A681" s="21" t="s">
        <v>1307</v>
      </c>
      <c r="B681" s="21" t="str">
        <f>Table1[[#This Row],[Code]]&amp;" "&amp;Table1[[#This Row],[Portico_Specialty]]</f>
        <v>2471R0002X Radiologic Technologist: Radiation Therapy</v>
      </c>
      <c r="C681" s="21" t="str">
        <f>CLEAN(Table1[[#This Row],[Code]])</f>
        <v>2471R0002X</v>
      </c>
      <c r="D681" s="1" t="s">
        <v>1308</v>
      </c>
      <c r="E681" s="1"/>
      <c r="F681" s="1" t="s">
        <v>2587</v>
      </c>
      <c r="G681" s="3" t="s">
        <v>2588</v>
      </c>
      <c r="H681" s="1" t="s">
        <v>2615</v>
      </c>
      <c r="I681" s="1"/>
      <c r="J681" s="1" t="s">
        <v>2590</v>
      </c>
      <c r="K681" s="1" t="s">
        <v>2653</v>
      </c>
      <c r="L681" s="1"/>
      <c r="M681" s="1"/>
      <c r="N681" s="1"/>
      <c r="O681" s="1" t="s">
        <v>2653</v>
      </c>
      <c r="P681" s="9"/>
      <c r="R681" s="16">
        <f ca="1">IF(ISNUMBER(SEARCH(INDIRECT(CELL("address")),S681)),MAX($R$1:R680)+1,0)</f>
        <v>680</v>
      </c>
      <c r="S681" s="18" t="str">
        <f>Table1[[#This Row],[Portico_Specialty]]&amp;"-"&amp;Table1[[#This Row],[Code]]</f>
        <v>Radiologic Technologist: Radiation Therapy-2471R0002X</v>
      </c>
      <c r="U681" s="16" t="str">
        <f ca="1">IFERROR(VLOOKUP(ROWS($U$1:U680),$R$2:$S$918,2,FALSE),"")</f>
        <v>Radiologic Technologist: Radiation Therapy-2471R0002X</v>
      </c>
    </row>
    <row r="682" spans="1:21" x14ac:dyDescent="0.3">
      <c r="A682" s="21" t="s">
        <v>1297</v>
      </c>
      <c r="B682" s="21" t="str">
        <f>Table1[[#This Row],[Code]]&amp;" "&amp;Table1[[#This Row],[Portico_Specialty]]</f>
        <v>2471C3402X Radiologic Technologist: Radiography</v>
      </c>
      <c r="C682" s="21" t="str">
        <f>CLEAN(Table1[[#This Row],[Code]])</f>
        <v>2471C3402X</v>
      </c>
      <c r="D682" s="1" t="s">
        <v>1298</v>
      </c>
      <c r="E682" s="1"/>
      <c r="F682" s="1" t="s">
        <v>2587</v>
      </c>
      <c r="G682" s="3" t="s">
        <v>2588</v>
      </c>
      <c r="H682" s="1" t="s">
        <v>2615</v>
      </c>
      <c r="I682" s="1"/>
      <c r="J682" s="1" t="s">
        <v>2590</v>
      </c>
      <c r="K682" s="1" t="s">
        <v>2653</v>
      </c>
      <c r="L682" s="1" t="s">
        <v>2821</v>
      </c>
      <c r="M682" s="1"/>
      <c r="N682" s="1"/>
      <c r="O682" s="1" t="s">
        <v>2653</v>
      </c>
      <c r="P682" s="9"/>
      <c r="R682" s="16">
        <f ca="1">IF(ISNUMBER(SEARCH(INDIRECT(CELL("address")),S682)),MAX($R$1:R681)+1,0)</f>
        <v>681</v>
      </c>
      <c r="S682" s="18" t="str">
        <f>Table1[[#This Row],[Portico_Specialty]]&amp;"-"&amp;Table1[[#This Row],[Code]]</f>
        <v>Radiologic Technologist: Radiography-2471C3402X</v>
      </c>
      <c r="U682" s="16" t="str">
        <f ca="1">IFERROR(VLOOKUP(ROWS($U$1:U681),$R$2:$S$918,2,FALSE),"")</f>
        <v>Radiologic Technologist: Radiography-2471C3402X</v>
      </c>
    </row>
    <row r="683" spans="1:21" x14ac:dyDescent="0.3">
      <c r="A683" s="21" t="s">
        <v>1309</v>
      </c>
      <c r="B683" s="21" t="str">
        <f>Table1[[#This Row],[Code]]&amp;" "&amp;Table1[[#This Row],[Portico_Specialty]]</f>
        <v>2471S1302X Radiologic Technologist: Sonography</v>
      </c>
      <c r="C683" s="21" t="str">
        <f>CLEAN(Table1[[#This Row],[Code]])</f>
        <v>2471S1302X</v>
      </c>
      <c r="D683" s="1" t="s">
        <v>1310</v>
      </c>
      <c r="E683" s="1"/>
      <c r="F683" s="1" t="s">
        <v>2587</v>
      </c>
      <c r="G683" s="3" t="s">
        <v>2588</v>
      </c>
      <c r="H683" s="1" t="s">
        <v>2852</v>
      </c>
      <c r="I683" s="1"/>
      <c r="J683" s="1" t="s">
        <v>2852</v>
      </c>
      <c r="K683" s="1" t="s">
        <v>2653</v>
      </c>
      <c r="L683" s="1"/>
      <c r="M683" s="1" t="s">
        <v>2852</v>
      </c>
      <c r="N683" s="1"/>
      <c r="O683" s="1" t="s">
        <v>2653</v>
      </c>
      <c r="P683" s="9"/>
      <c r="R683" s="16">
        <f ca="1">IF(ISNUMBER(SEARCH(INDIRECT(CELL("address")),S683)),MAX($R$1:R682)+1,0)</f>
        <v>682</v>
      </c>
      <c r="S683" s="18" t="str">
        <f>Table1[[#This Row],[Portico_Specialty]]&amp;"-"&amp;Table1[[#This Row],[Code]]</f>
        <v>Radiologic Technologist: Sonography-2471S1302X</v>
      </c>
      <c r="U683" s="16" t="str">
        <f ca="1">IFERROR(VLOOKUP(ROWS($U$1:U682),$R$2:$S$918,2,FALSE),"")</f>
        <v>Radiologic Technologist: Sonography-2471S1302X</v>
      </c>
    </row>
    <row r="684" spans="1:21" ht="30.75" x14ac:dyDescent="0.3">
      <c r="A684" s="21" t="s">
        <v>1311</v>
      </c>
      <c r="B684" s="21" t="str">
        <f>Table1[[#This Row],[Code]]&amp;" "&amp;Table1[[#This Row],[Portico_Specialty]]</f>
        <v>2471V0105X Radiologic Technologist: Vascular Sonography</v>
      </c>
      <c r="C684" s="21" t="str">
        <f>CLEAN(Table1[[#This Row],[Code]])</f>
        <v>2471V0105X</v>
      </c>
      <c r="D684" s="1" t="s">
        <v>1312</v>
      </c>
      <c r="E684" s="1"/>
      <c r="F684" s="1" t="s">
        <v>2587</v>
      </c>
      <c r="G684" s="3" t="s">
        <v>2588</v>
      </c>
      <c r="H684" s="1"/>
      <c r="I684" s="1"/>
      <c r="J684" s="1" t="s">
        <v>2590</v>
      </c>
      <c r="K684" s="1" t="s">
        <v>2653</v>
      </c>
      <c r="L684" s="1"/>
      <c r="M684" s="1"/>
      <c r="N684" s="1"/>
      <c r="O684" s="1" t="s">
        <v>2653</v>
      </c>
      <c r="P684" s="9"/>
      <c r="R684" s="16">
        <f ca="1">IF(ISNUMBER(SEARCH(INDIRECT(CELL("address")),S684)),MAX($R$1:R683)+1,0)</f>
        <v>683</v>
      </c>
      <c r="S684" s="18" t="str">
        <f>Table1[[#This Row],[Portico_Specialty]]&amp;"-"&amp;Table1[[#This Row],[Code]]</f>
        <v>Radiologic Technologist: Vascular Sonography-2471V0105X</v>
      </c>
      <c r="U684" s="16" t="str">
        <f ca="1">IFERROR(VLOOKUP(ROWS($U$1:U683),$R$2:$S$918,2,FALSE),"")</f>
        <v>Radiologic Technologist: Vascular Sonography-2471V0105X</v>
      </c>
    </row>
    <row r="685" spans="1:21" ht="30.75" x14ac:dyDescent="0.3">
      <c r="A685" s="21" t="s">
        <v>1313</v>
      </c>
      <c r="B685" s="21" t="str">
        <f>Table1[[#This Row],[Code]]&amp;" "&amp;Table1[[#This Row],[Portico_Specialty]]</f>
        <v>2471V0106X Radiologic Technologist: Vascular-Interventional Technology</v>
      </c>
      <c r="C685" s="21" t="str">
        <f>CLEAN(Table1[[#This Row],[Code]])</f>
        <v>2471V0106X</v>
      </c>
      <c r="D685" s="1" t="s">
        <v>1314</v>
      </c>
      <c r="E685" s="1"/>
      <c r="F685" s="1" t="s">
        <v>2587</v>
      </c>
      <c r="G685" s="3" t="s">
        <v>2588</v>
      </c>
      <c r="H685" s="1" t="s">
        <v>2852</v>
      </c>
      <c r="I685" s="1"/>
      <c r="J685" s="1" t="s">
        <v>2853</v>
      </c>
      <c r="K685" s="1" t="s">
        <v>2653</v>
      </c>
      <c r="L685" s="1"/>
      <c r="M685" s="1" t="s">
        <v>2853</v>
      </c>
      <c r="N685" s="1"/>
      <c r="O685" s="1" t="s">
        <v>2653</v>
      </c>
      <c r="P685" s="9"/>
      <c r="R685" s="16">
        <f ca="1">IF(ISNUMBER(SEARCH(INDIRECT(CELL("address")),S685)),MAX($R$1:R684)+1,0)</f>
        <v>684</v>
      </c>
      <c r="S685" s="18" t="str">
        <f>Table1[[#This Row],[Portico_Specialty]]&amp;"-"&amp;Table1[[#This Row],[Code]]</f>
        <v>Radiologic Technologist: Vascular-Interventional Technology-2471V0106X</v>
      </c>
      <c r="U685" s="16" t="str">
        <f ca="1">IFERROR(VLOOKUP(ROWS($U$1:U684),$R$2:$S$918,2,FALSE),"")</f>
        <v>Radiologic Technologist: Vascular-Interventional Technology-2471V0106X</v>
      </c>
    </row>
    <row r="686" spans="1:21" x14ac:dyDescent="0.3">
      <c r="A686" s="21" t="s">
        <v>1199</v>
      </c>
      <c r="B686" s="21" t="str">
        <f>Table1[[#This Row],[Code]]&amp;" "&amp;Table1[[#This Row],[Portico_Specialty]]</f>
        <v>243U00000X Radiology Practitioner Assistant</v>
      </c>
      <c r="C686" s="21" t="str">
        <f>CLEAN(Table1[[#This Row],[Code]])</f>
        <v>243U00000X</v>
      </c>
      <c r="D686" s="1" t="s">
        <v>1200</v>
      </c>
      <c r="E686" s="1"/>
      <c r="F686" s="1" t="s">
        <v>2587</v>
      </c>
      <c r="G686" s="3" t="s">
        <v>2588</v>
      </c>
      <c r="H686" s="1"/>
      <c r="I686" s="1"/>
      <c r="J686" s="1" t="s">
        <v>2590</v>
      </c>
      <c r="K686" s="1" t="s">
        <v>2653</v>
      </c>
      <c r="L686" s="1"/>
      <c r="M686" s="1"/>
      <c r="N686" s="1"/>
      <c r="O686" s="1" t="s">
        <v>2653</v>
      </c>
      <c r="P686" s="9"/>
      <c r="R686" s="16">
        <f ca="1">IF(ISNUMBER(SEARCH(INDIRECT(CELL("address")),S686)),MAX($R$1:R685)+1,0)</f>
        <v>685</v>
      </c>
      <c r="S686" s="18" t="str">
        <f>Table1[[#This Row],[Portico_Specialty]]&amp;"-"&amp;Table1[[#This Row],[Code]]</f>
        <v>Radiology Practitioner Assistant-243U00000X</v>
      </c>
      <c r="U686" s="16" t="str">
        <f ca="1">IFERROR(VLOOKUP(ROWS($U$1:U685),$R$2:$S$918,2,FALSE),"")</f>
        <v>Radiology Practitioner Assistant-243U00000X</v>
      </c>
    </row>
    <row r="687" spans="1:21" x14ac:dyDescent="0.3">
      <c r="A687" s="21" t="s">
        <v>933</v>
      </c>
      <c r="B687" s="21" t="str">
        <f>Table1[[#This Row],[Code]]&amp;" "&amp;Table1[[#This Row],[Portico_Specialty]]</f>
        <v>2085B0100X Radiology: Body Imaging</v>
      </c>
      <c r="C687" s="21" t="str">
        <f>CLEAN(Table1[[#This Row],[Code]])</f>
        <v>2085B0100X</v>
      </c>
      <c r="D687" s="1" t="s">
        <v>934</v>
      </c>
      <c r="E687" s="1"/>
      <c r="F687" s="1" t="s">
        <v>2587</v>
      </c>
      <c r="G687" s="3" t="s">
        <v>2588</v>
      </c>
      <c r="H687" s="1" t="s">
        <v>2653</v>
      </c>
      <c r="I687" s="1"/>
      <c r="J687" s="1" t="s">
        <v>2653</v>
      </c>
      <c r="K687" s="1" t="s">
        <v>2653</v>
      </c>
      <c r="L687" s="1" t="s">
        <v>2653</v>
      </c>
      <c r="M687" s="1" t="s">
        <v>2653</v>
      </c>
      <c r="N687" s="1" t="s">
        <v>2653</v>
      </c>
      <c r="O687" s="1" t="s">
        <v>2653</v>
      </c>
      <c r="P687" s="9"/>
      <c r="R687" s="16">
        <f ca="1">IF(ISNUMBER(SEARCH(INDIRECT(CELL("address")),S687)),MAX($R$1:R686)+1,0)</f>
        <v>686</v>
      </c>
      <c r="S687" s="18" t="str">
        <f>Table1[[#This Row],[Portico_Specialty]]&amp;"-"&amp;Table1[[#This Row],[Code]]</f>
        <v>Radiology: Body Imaging-2085B0100X</v>
      </c>
      <c r="U687" s="16" t="str">
        <f ca="1">IFERROR(VLOOKUP(ROWS($U$1:U686),$R$2:$S$918,2,FALSE),"")</f>
        <v>Radiology: Body Imaging-2085B0100X</v>
      </c>
    </row>
    <row r="688" spans="1:21" x14ac:dyDescent="0.3">
      <c r="A688" s="21" t="s">
        <v>935</v>
      </c>
      <c r="B688" s="21" t="str">
        <f>Table1[[#This Row],[Code]]&amp;" "&amp;Table1[[#This Row],[Portico_Specialty]]</f>
        <v>2085D0003X Radiology: Diagnostic Neuroimaging</v>
      </c>
      <c r="C688" s="21" t="str">
        <f>CLEAN(Table1[[#This Row],[Code]])</f>
        <v>2085D0003X</v>
      </c>
      <c r="D688" s="1" t="s">
        <v>936</v>
      </c>
      <c r="E688" s="1"/>
      <c r="F688" s="1" t="s">
        <v>2587</v>
      </c>
      <c r="G688" s="3" t="s">
        <v>2588</v>
      </c>
      <c r="H688" s="1" t="s">
        <v>2653</v>
      </c>
      <c r="I688" s="1"/>
      <c r="J688" s="1" t="s">
        <v>2653</v>
      </c>
      <c r="K688" s="1" t="s">
        <v>2653</v>
      </c>
      <c r="L688" s="1" t="s">
        <v>2653</v>
      </c>
      <c r="M688" s="1" t="s">
        <v>2653</v>
      </c>
      <c r="N688" s="1" t="s">
        <v>2653</v>
      </c>
      <c r="O688" s="1" t="s">
        <v>2653</v>
      </c>
      <c r="P688" s="9"/>
      <c r="R688" s="16">
        <f ca="1">IF(ISNUMBER(SEARCH(INDIRECT(CELL("address")),S688)),MAX($R$1:R687)+1,0)</f>
        <v>687</v>
      </c>
      <c r="S688" s="18" t="str">
        <f>Table1[[#This Row],[Portico_Specialty]]&amp;"-"&amp;Table1[[#This Row],[Code]]</f>
        <v>Radiology: Diagnostic Neuroimaging-2085D0003X</v>
      </c>
      <c r="U688" s="16" t="str">
        <f ca="1">IFERROR(VLOOKUP(ROWS($U$1:U687),$R$2:$S$918,2,FALSE),"")</f>
        <v>Radiology: Diagnostic Neuroimaging-2085D0003X</v>
      </c>
    </row>
    <row r="689" spans="1:21" x14ac:dyDescent="0.3">
      <c r="A689" s="21" t="s">
        <v>947</v>
      </c>
      <c r="B689" s="21" t="str">
        <f>Table1[[#This Row],[Code]]&amp;" "&amp;Table1[[#This Row],[Portico_Specialty]]</f>
        <v>2085R0202X Radiology: Diagnostic Radiology</v>
      </c>
      <c r="C689" s="21" t="str">
        <f>CLEAN(Table1[[#This Row],[Code]])</f>
        <v>2085R0202X</v>
      </c>
      <c r="D689" s="1" t="s">
        <v>948</v>
      </c>
      <c r="E689" s="1"/>
      <c r="F689" s="1" t="s">
        <v>2587</v>
      </c>
      <c r="G689" s="4" t="s">
        <v>2593</v>
      </c>
      <c r="H689" s="1" t="s">
        <v>2653</v>
      </c>
      <c r="I689" s="1"/>
      <c r="J689" s="1" t="s">
        <v>2653</v>
      </c>
      <c r="K689" s="1" t="s">
        <v>2653</v>
      </c>
      <c r="L689" s="1" t="s">
        <v>2653</v>
      </c>
      <c r="M689" s="1" t="s">
        <v>2653</v>
      </c>
      <c r="N689" s="1" t="s">
        <v>2653</v>
      </c>
      <c r="O689" s="1" t="s">
        <v>2653</v>
      </c>
      <c r="P689" s="9"/>
      <c r="R689" s="16">
        <f ca="1">IF(ISNUMBER(SEARCH(INDIRECT(CELL("address")),S689)),MAX($R$1:R688)+1,0)</f>
        <v>688</v>
      </c>
      <c r="S689" s="18" t="str">
        <f>Table1[[#This Row],[Portico_Specialty]]&amp;"-"&amp;Table1[[#This Row],[Code]]</f>
        <v>Radiology: Diagnostic Radiology-2085R0202X</v>
      </c>
      <c r="U689" s="16" t="str">
        <f ca="1">IFERROR(VLOOKUP(ROWS($U$1:U688),$R$2:$S$918,2,FALSE),"")</f>
        <v>Radiology: Diagnostic Radiology-2085R0202X</v>
      </c>
    </row>
    <row r="690" spans="1:21" x14ac:dyDescent="0.3">
      <c r="A690" s="21" t="s">
        <v>955</v>
      </c>
      <c r="B690" s="21" t="str">
        <f>Table1[[#This Row],[Code]]&amp;" "&amp;Table1[[#This Row],[Portico_Specialty]]</f>
        <v>2085U0001X Radiology: Diagnostic Ultrasound</v>
      </c>
      <c r="C690" s="21" t="str">
        <f>CLEAN(Table1[[#This Row],[Code]])</f>
        <v>2085U0001X</v>
      </c>
      <c r="D690" s="1" t="s">
        <v>956</v>
      </c>
      <c r="E690" s="1"/>
      <c r="F690" s="1" t="s">
        <v>2587</v>
      </c>
      <c r="G690" s="3" t="s">
        <v>2588</v>
      </c>
      <c r="H690" s="1" t="s">
        <v>2653</v>
      </c>
      <c r="I690" s="1"/>
      <c r="J690" s="1" t="s">
        <v>2653</v>
      </c>
      <c r="K690" s="1" t="s">
        <v>2653</v>
      </c>
      <c r="L690" s="1" t="s">
        <v>2653</v>
      </c>
      <c r="M690" s="1" t="s">
        <v>2653</v>
      </c>
      <c r="N690" s="1" t="s">
        <v>2653</v>
      </c>
      <c r="O690" s="1" t="s">
        <v>2653</v>
      </c>
      <c r="P690" s="9"/>
      <c r="R690" s="16">
        <f ca="1">IF(ISNUMBER(SEARCH(INDIRECT(CELL("address")),S690)),MAX($R$1:R689)+1,0)</f>
        <v>689</v>
      </c>
      <c r="S690" s="18" t="str">
        <f>Table1[[#This Row],[Portico_Specialty]]&amp;"-"&amp;Table1[[#This Row],[Code]]</f>
        <v>Radiology: Diagnostic Ultrasound-2085U0001X</v>
      </c>
      <c r="U690" s="16" t="str">
        <f ca="1">IFERROR(VLOOKUP(ROWS($U$1:U689),$R$2:$S$918,2,FALSE),"")</f>
        <v>Radiology: Diagnostic Ultrasound-2085U0001X</v>
      </c>
    </row>
    <row r="691" spans="1:21" x14ac:dyDescent="0.3">
      <c r="A691" s="21" t="s">
        <v>937</v>
      </c>
      <c r="B691" s="21" t="str">
        <f>Table1[[#This Row],[Code]]&amp;" "&amp;Table1[[#This Row],[Portico_Specialty]]</f>
        <v>2085H0002X Radiology: Hospice and Palliative Medicine</v>
      </c>
      <c r="C691" s="21" t="str">
        <f>CLEAN(Table1[[#This Row],[Code]])</f>
        <v>2085H0002X</v>
      </c>
      <c r="D691" s="1" t="s">
        <v>938</v>
      </c>
      <c r="E691" s="1"/>
      <c r="F691" s="1" t="s">
        <v>2587</v>
      </c>
      <c r="G691" s="4" t="s">
        <v>2593</v>
      </c>
      <c r="H691" s="1" t="s">
        <v>2653</v>
      </c>
      <c r="I691" s="1"/>
      <c r="J691" s="1" t="s">
        <v>2653</v>
      </c>
      <c r="K691" s="1" t="s">
        <v>2653</v>
      </c>
      <c r="L691" s="1" t="s">
        <v>2653</v>
      </c>
      <c r="M691" s="1" t="s">
        <v>2653</v>
      </c>
      <c r="N691" s="1" t="s">
        <v>2653</v>
      </c>
      <c r="O691" s="1" t="s">
        <v>2653</v>
      </c>
      <c r="P691" s="9"/>
      <c r="R691" s="16">
        <f ca="1">IF(ISNUMBER(SEARCH(INDIRECT(CELL("address")),S691)),MAX($R$1:R690)+1,0)</f>
        <v>690</v>
      </c>
      <c r="S691" s="18" t="str">
        <f>Table1[[#This Row],[Portico_Specialty]]&amp;"-"&amp;Table1[[#This Row],[Code]]</f>
        <v>Radiology: Hospice and Palliative Medicine-2085H0002X</v>
      </c>
      <c r="U691" s="16" t="str">
        <f ca="1">IFERROR(VLOOKUP(ROWS($U$1:U690),$R$2:$S$918,2,FALSE),"")</f>
        <v>Radiology: Hospice and Palliative Medicine-2085H0002X</v>
      </c>
    </row>
    <row r="692" spans="1:21" x14ac:dyDescent="0.3">
      <c r="A692" s="21" t="s">
        <v>939</v>
      </c>
      <c r="B692" s="21" t="str">
        <f>Table1[[#This Row],[Code]]&amp;" "&amp;Table1[[#This Row],[Portico_Specialty]]</f>
        <v>2085N0700X Radiology: Neuroradiology</v>
      </c>
      <c r="C692" s="21" t="str">
        <f>CLEAN(Table1[[#This Row],[Code]])</f>
        <v>2085N0700X</v>
      </c>
      <c r="D692" s="1" t="s">
        <v>940</v>
      </c>
      <c r="E692" s="1"/>
      <c r="F692" s="1" t="s">
        <v>2587</v>
      </c>
      <c r="G692" s="3" t="s">
        <v>2588</v>
      </c>
      <c r="H692" s="1" t="s">
        <v>2653</v>
      </c>
      <c r="I692" s="1"/>
      <c r="J692" s="1" t="s">
        <v>2653</v>
      </c>
      <c r="K692" s="1" t="s">
        <v>2653</v>
      </c>
      <c r="L692" s="1" t="s">
        <v>2653</v>
      </c>
      <c r="M692" s="1" t="s">
        <v>2653</v>
      </c>
      <c r="N692" s="1" t="s">
        <v>2653</v>
      </c>
      <c r="O692" s="1" t="s">
        <v>2653</v>
      </c>
      <c r="P692" s="9"/>
      <c r="R692" s="16">
        <f ca="1">IF(ISNUMBER(SEARCH(INDIRECT(CELL("address")),S692)),MAX($R$1:R691)+1,0)</f>
        <v>691</v>
      </c>
      <c r="S692" s="18" t="str">
        <f>Table1[[#This Row],[Portico_Specialty]]&amp;"-"&amp;Table1[[#This Row],[Code]]</f>
        <v>Radiology: Neuroradiology-2085N0700X</v>
      </c>
      <c r="U692" s="16" t="str">
        <f ca="1">IFERROR(VLOOKUP(ROWS($U$1:U691),$R$2:$S$918,2,FALSE),"")</f>
        <v>Radiology: Neuroradiology-2085N0700X</v>
      </c>
    </row>
    <row r="693" spans="1:21" x14ac:dyDescent="0.3">
      <c r="A693" s="21" t="s">
        <v>941</v>
      </c>
      <c r="B693" s="21" t="str">
        <f>Table1[[#This Row],[Code]]&amp;" "&amp;Table1[[#This Row],[Portico_Specialty]]</f>
        <v>2085N0904X Radiology: Nuclear Radiology</v>
      </c>
      <c r="C693" s="21" t="str">
        <f>CLEAN(Table1[[#This Row],[Code]])</f>
        <v>2085N0904X</v>
      </c>
      <c r="D693" s="1" t="s">
        <v>942</v>
      </c>
      <c r="E693" s="1"/>
      <c r="F693" s="1" t="s">
        <v>2587</v>
      </c>
      <c r="G693" s="3" t="s">
        <v>2588</v>
      </c>
      <c r="H693" s="1" t="s">
        <v>2653</v>
      </c>
      <c r="I693" s="1"/>
      <c r="J693" s="1" t="s">
        <v>2653</v>
      </c>
      <c r="K693" s="1" t="s">
        <v>2653</v>
      </c>
      <c r="L693" s="1" t="s">
        <v>2653</v>
      </c>
      <c r="M693" s="1" t="s">
        <v>2653</v>
      </c>
      <c r="N693" s="1" t="s">
        <v>2653</v>
      </c>
      <c r="O693" s="1" t="s">
        <v>2653</v>
      </c>
      <c r="P693" s="9"/>
      <c r="R693" s="16">
        <f ca="1">IF(ISNUMBER(SEARCH(INDIRECT(CELL("address")),S693)),MAX($R$1:R692)+1,0)</f>
        <v>692</v>
      </c>
      <c r="S693" s="18" t="str">
        <f>Table1[[#This Row],[Portico_Specialty]]&amp;"-"&amp;Table1[[#This Row],[Code]]</f>
        <v>Radiology: Nuclear Radiology-2085N0904X</v>
      </c>
      <c r="U693" s="16" t="str">
        <f ca="1">IFERROR(VLOOKUP(ROWS($U$1:U692),$R$2:$S$918,2,FALSE),"")</f>
        <v>Radiology: Nuclear Radiology-2085N0904X</v>
      </c>
    </row>
    <row r="694" spans="1:21" x14ac:dyDescent="0.3">
      <c r="A694" s="21" t="s">
        <v>943</v>
      </c>
      <c r="B694" s="21" t="str">
        <f>Table1[[#This Row],[Code]]&amp;" "&amp;Table1[[#This Row],[Portico_Specialty]]</f>
        <v>2085P0229X Radiology: Pediatric Radiology</v>
      </c>
      <c r="C694" s="21" t="str">
        <f>CLEAN(Table1[[#This Row],[Code]])</f>
        <v>2085P0229X</v>
      </c>
      <c r="D694" s="1" t="s">
        <v>944</v>
      </c>
      <c r="E694" s="1"/>
      <c r="F694" s="1" t="s">
        <v>2587</v>
      </c>
      <c r="G694" s="3" t="s">
        <v>2588</v>
      </c>
      <c r="H694" s="1" t="s">
        <v>2653</v>
      </c>
      <c r="I694" s="1"/>
      <c r="J694" s="1" t="s">
        <v>2653</v>
      </c>
      <c r="K694" s="1" t="s">
        <v>2653</v>
      </c>
      <c r="L694" s="1" t="s">
        <v>2653</v>
      </c>
      <c r="M694" s="1" t="s">
        <v>2653</v>
      </c>
      <c r="N694" s="1" t="s">
        <v>2653</v>
      </c>
      <c r="O694" s="1" t="s">
        <v>2653</v>
      </c>
      <c r="P694" s="9"/>
      <c r="R694" s="16">
        <f ca="1">IF(ISNUMBER(SEARCH(INDIRECT(CELL("address")),S694)),MAX($R$1:R693)+1,0)</f>
        <v>693</v>
      </c>
      <c r="S694" s="18" t="str">
        <f>Table1[[#This Row],[Portico_Specialty]]&amp;"-"&amp;Table1[[#This Row],[Code]]</f>
        <v>Radiology: Pediatric Radiology-2085P0229X</v>
      </c>
      <c r="U694" s="16" t="str">
        <f ca="1">IFERROR(VLOOKUP(ROWS($U$1:U693),$R$2:$S$918,2,FALSE),"")</f>
        <v>Radiology: Pediatric Radiology-2085P0229X</v>
      </c>
    </row>
    <row r="695" spans="1:21" x14ac:dyDescent="0.3">
      <c r="A695" s="21" t="s">
        <v>945</v>
      </c>
      <c r="B695" s="21" t="str">
        <f>Table1[[#This Row],[Code]]&amp;" "&amp;Table1[[#This Row],[Portico_Specialty]]</f>
        <v>2085R0001X Radiology: Radiation Oncology</v>
      </c>
      <c r="C695" s="21" t="str">
        <f>CLEAN(Table1[[#This Row],[Code]])</f>
        <v>2085R0001X</v>
      </c>
      <c r="D695" s="1" t="s">
        <v>946</v>
      </c>
      <c r="E695" s="1"/>
      <c r="F695" s="1" t="s">
        <v>2587</v>
      </c>
      <c r="G695" s="4" t="s">
        <v>2593</v>
      </c>
      <c r="H695" s="1" t="s">
        <v>2854</v>
      </c>
      <c r="I695" s="1"/>
      <c r="J695" s="1" t="s">
        <v>2854</v>
      </c>
      <c r="K695" s="1" t="s">
        <v>2854</v>
      </c>
      <c r="L695" s="1" t="s">
        <v>2854</v>
      </c>
      <c r="M695" s="1" t="s">
        <v>2854</v>
      </c>
      <c r="N695" s="1" t="s">
        <v>2854</v>
      </c>
      <c r="O695" s="1" t="s">
        <v>2854</v>
      </c>
      <c r="P695" s="9"/>
      <c r="R695" s="16">
        <f ca="1">IF(ISNUMBER(SEARCH(INDIRECT(CELL("address")),S695)),MAX($R$1:R694)+1,0)</f>
        <v>694</v>
      </c>
      <c r="S695" s="18" t="str">
        <f>Table1[[#This Row],[Portico_Specialty]]&amp;"-"&amp;Table1[[#This Row],[Code]]</f>
        <v>Radiology: Radiation Oncology-2085R0001X</v>
      </c>
      <c r="U695" s="16" t="str">
        <f ca="1">IFERROR(VLOOKUP(ROWS($U$1:U694),$R$2:$S$918,2,FALSE),"")</f>
        <v>Radiology: Radiation Oncology-2085R0001X</v>
      </c>
    </row>
    <row r="696" spans="1:21" x14ac:dyDescent="0.3">
      <c r="A696" s="21" t="s">
        <v>953</v>
      </c>
      <c r="B696" s="21" t="str">
        <f>Table1[[#This Row],[Code]]&amp;" "&amp;Table1[[#This Row],[Portico_Specialty]]</f>
        <v>2085R0205X Radiology: Radiological Physics</v>
      </c>
      <c r="C696" s="21" t="str">
        <f>CLEAN(Table1[[#This Row],[Code]])</f>
        <v>2085R0205X</v>
      </c>
      <c r="D696" s="1" t="s">
        <v>954</v>
      </c>
      <c r="E696" s="1"/>
      <c r="F696" s="1" t="s">
        <v>2587</v>
      </c>
      <c r="G696" s="3" t="s">
        <v>2588</v>
      </c>
      <c r="H696" s="1" t="s">
        <v>2653</v>
      </c>
      <c r="I696" s="1"/>
      <c r="J696" s="1" t="s">
        <v>2653</v>
      </c>
      <c r="K696" s="1" t="s">
        <v>2653</v>
      </c>
      <c r="L696" s="1" t="s">
        <v>2653</v>
      </c>
      <c r="M696" s="1" t="s">
        <v>2653</v>
      </c>
      <c r="N696" s="1" t="s">
        <v>2653</v>
      </c>
      <c r="O696" s="1" t="s">
        <v>2653</v>
      </c>
      <c r="P696" s="9"/>
      <c r="R696" s="16">
        <f ca="1">IF(ISNUMBER(SEARCH(INDIRECT(CELL("address")),S696)),MAX($R$1:R695)+1,0)</f>
        <v>695</v>
      </c>
      <c r="S696" s="18" t="str">
        <f>Table1[[#This Row],[Portico_Specialty]]&amp;"-"&amp;Table1[[#This Row],[Code]]</f>
        <v>Radiology: Radiological Physics-2085R0205X</v>
      </c>
      <c r="U696" s="16" t="str">
        <f ca="1">IFERROR(VLOOKUP(ROWS($U$1:U695),$R$2:$S$918,2,FALSE),"")</f>
        <v>Radiology: Radiological Physics-2085R0205X</v>
      </c>
    </row>
    <row r="697" spans="1:21" x14ac:dyDescent="0.3">
      <c r="A697" s="21" t="s">
        <v>949</v>
      </c>
      <c r="B697" s="21" t="str">
        <f>Table1[[#This Row],[Code]]&amp;" "&amp;Table1[[#This Row],[Portico_Specialty]]</f>
        <v>2085R0203X Radiology: Therapeutic Radiology</v>
      </c>
      <c r="C697" s="21" t="str">
        <f>CLEAN(Table1[[#This Row],[Code]])</f>
        <v>2085R0203X</v>
      </c>
      <c r="D697" s="1" t="s">
        <v>950</v>
      </c>
      <c r="E697" s="1"/>
      <c r="F697" s="1" t="s">
        <v>2587</v>
      </c>
      <c r="G697" s="3" t="s">
        <v>2588</v>
      </c>
      <c r="H697" s="1" t="s">
        <v>2653</v>
      </c>
      <c r="I697" s="1"/>
      <c r="J697" s="1" t="s">
        <v>2653</v>
      </c>
      <c r="K697" s="1" t="s">
        <v>2653</v>
      </c>
      <c r="L697" s="1" t="s">
        <v>2653</v>
      </c>
      <c r="M697" s="1" t="s">
        <v>2653</v>
      </c>
      <c r="N697" s="1" t="s">
        <v>2653</v>
      </c>
      <c r="O697" s="1" t="s">
        <v>2653</v>
      </c>
      <c r="P697" s="9"/>
      <c r="R697" s="16">
        <f ca="1">IF(ISNUMBER(SEARCH(INDIRECT(CELL("address")),S697)),MAX($R$1:R696)+1,0)</f>
        <v>696</v>
      </c>
      <c r="S697" s="18" t="str">
        <f>Table1[[#This Row],[Portico_Specialty]]&amp;"-"&amp;Table1[[#This Row],[Code]]</f>
        <v>Radiology: Therapeutic Radiology-2085R0203X</v>
      </c>
      <c r="U697" s="16" t="str">
        <f ca="1">IFERROR(VLOOKUP(ROWS($U$1:U696),$R$2:$S$918,2,FALSE),"")</f>
        <v>Radiology: Therapeutic Radiology-2085R0203X</v>
      </c>
    </row>
    <row r="698" spans="1:21" ht="30.75" x14ac:dyDescent="0.3">
      <c r="A698" s="21" t="s">
        <v>951</v>
      </c>
      <c r="B698" s="21" t="str">
        <f>Table1[[#This Row],[Code]]&amp;" "&amp;Table1[[#This Row],[Portico_Specialty]]</f>
        <v>2085R0204X Radiology: Vascular &amp; Interventional Radiology</v>
      </c>
      <c r="C698" s="21" t="str">
        <f>CLEAN(Table1[[#This Row],[Code]])</f>
        <v>2085R0204X</v>
      </c>
      <c r="D698" s="1" t="s">
        <v>952</v>
      </c>
      <c r="E698" s="1"/>
      <c r="F698" s="1" t="s">
        <v>2587</v>
      </c>
      <c r="G698" s="4" t="s">
        <v>2593</v>
      </c>
      <c r="H698" s="1" t="s">
        <v>2853</v>
      </c>
      <c r="I698" s="1"/>
      <c r="J698" s="1" t="s">
        <v>2853</v>
      </c>
      <c r="K698" s="1" t="s">
        <v>2853</v>
      </c>
      <c r="L698" s="1" t="s">
        <v>2853</v>
      </c>
      <c r="M698" s="1" t="s">
        <v>2853</v>
      </c>
      <c r="N698" s="1" t="s">
        <v>2853</v>
      </c>
      <c r="O698" s="1" t="s">
        <v>2853</v>
      </c>
      <c r="P698" s="9"/>
      <c r="R698" s="16">
        <f ca="1">IF(ISNUMBER(SEARCH(INDIRECT(CELL("address")),S698)),MAX($R$1:R697)+1,0)</f>
        <v>697</v>
      </c>
      <c r="S698" s="18" t="str">
        <f>Table1[[#This Row],[Portico_Specialty]]&amp;"-"&amp;Table1[[#This Row],[Code]]</f>
        <v>Radiology: Vascular &amp; Interventional Radiology-2085R0204X</v>
      </c>
      <c r="U698" s="16" t="str">
        <f ca="1">IFERROR(VLOOKUP(ROWS($U$1:U697),$R$2:$S$918,2,FALSE),"")</f>
        <v>Radiology: Vascular &amp; Interventional Radiology-2085R0204X</v>
      </c>
    </row>
    <row r="699" spans="1:21" x14ac:dyDescent="0.3">
      <c r="A699" s="21" t="s">
        <v>1077</v>
      </c>
      <c r="B699" s="21" t="str">
        <f>Table1[[#This Row],[Code]]&amp;" "&amp;Table1[[#This Row],[Portico_Specialty]]</f>
        <v>225800000X Recreation Therapist</v>
      </c>
      <c r="C699" s="21" t="str">
        <f>CLEAN(Table1[[#This Row],[Code]])</f>
        <v>225800000X</v>
      </c>
      <c r="D699" s="1" t="s">
        <v>1078</v>
      </c>
      <c r="E699" s="1"/>
      <c r="F699" s="1" t="s">
        <v>2587</v>
      </c>
      <c r="G699" s="3" t="s">
        <v>2588</v>
      </c>
      <c r="H699" s="1" t="s">
        <v>2600</v>
      </c>
      <c r="I699" s="1"/>
      <c r="J699" s="1" t="s">
        <v>2590</v>
      </c>
      <c r="K699" s="1" t="s">
        <v>2600</v>
      </c>
      <c r="L699" s="1" t="s">
        <v>2600</v>
      </c>
      <c r="M699" s="1"/>
      <c r="N699" s="1"/>
      <c r="O699" s="1" t="s">
        <v>2600</v>
      </c>
      <c r="P699" s="9"/>
      <c r="R699" s="16">
        <f ca="1">IF(ISNUMBER(SEARCH(INDIRECT(CELL("address")),S699)),MAX($R$1:R698)+1,0)</f>
        <v>698</v>
      </c>
      <c r="S699" s="18" t="str">
        <f>Table1[[#This Row],[Portico_Specialty]]&amp;"-"&amp;Table1[[#This Row],[Code]]</f>
        <v>Recreation Therapist-225800000X</v>
      </c>
      <c r="U699" s="16" t="str">
        <f ca="1">IFERROR(VLOOKUP(ROWS($U$1:U698),$R$2:$S$918,2,FALSE),"")</f>
        <v>Recreation Therapist-225800000X</v>
      </c>
    </row>
    <row r="700" spans="1:21" x14ac:dyDescent="0.3">
      <c r="A700" s="21" t="s">
        <v>1117</v>
      </c>
      <c r="B700" s="21" t="str">
        <f>Table1[[#This Row],[Code]]&amp;" "&amp;Table1[[#This Row],[Portico_Specialty]]</f>
        <v>226000000X Recreational Therapist Assistant</v>
      </c>
      <c r="C700" s="21" t="str">
        <f>CLEAN(Table1[[#This Row],[Code]])</f>
        <v>226000000X</v>
      </c>
      <c r="D700" s="1" t="s">
        <v>1118</v>
      </c>
      <c r="E700" s="1"/>
      <c r="F700" s="1" t="s">
        <v>2587</v>
      </c>
      <c r="G700" s="3" t="s">
        <v>2588</v>
      </c>
      <c r="H700" s="1"/>
      <c r="I700" s="1"/>
      <c r="J700" s="1" t="s">
        <v>2600</v>
      </c>
      <c r="K700" s="1" t="s">
        <v>2600</v>
      </c>
      <c r="L700" s="1"/>
      <c r="M700" s="1"/>
      <c r="N700" s="1"/>
      <c r="O700" s="1" t="s">
        <v>2600</v>
      </c>
      <c r="P700" s="9"/>
      <c r="R700" s="16">
        <f ca="1">IF(ISNUMBER(SEARCH(INDIRECT(CELL("address")),S700)),MAX($R$1:R699)+1,0)</f>
        <v>699</v>
      </c>
      <c r="S700" s="18" t="str">
        <f>Table1[[#This Row],[Portico_Specialty]]&amp;"-"&amp;Table1[[#This Row],[Code]]</f>
        <v>Recreational Therapist Assistant-226000000X</v>
      </c>
      <c r="U700" s="16" t="str">
        <f ca="1">IFERROR(VLOOKUP(ROWS($U$1:U699),$R$2:$S$918,2,FALSE),"")</f>
        <v>Recreational Therapist Assistant-226000000X</v>
      </c>
    </row>
    <row r="701" spans="1:21" x14ac:dyDescent="0.3">
      <c r="A701" s="21" t="s">
        <v>473</v>
      </c>
      <c r="B701" s="21" t="str">
        <f>Table1[[#This Row],[Code]]&amp;" "&amp;Table1[[#This Row],[Portico_Specialty]]</f>
        <v>173C00000X Reflexologist</v>
      </c>
      <c r="C701" s="21" t="str">
        <f>CLEAN(Table1[[#This Row],[Code]])</f>
        <v>173C00000X</v>
      </c>
      <c r="D701" s="1" t="s">
        <v>474</v>
      </c>
      <c r="E701" s="1"/>
      <c r="F701" s="1" t="s">
        <v>2587</v>
      </c>
      <c r="G701" s="3" t="s">
        <v>2588</v>
      </c>
      <c r="H701" s="1" t="s">
        <v>2615</v>
      </c>
      <c r="I701" s="1"/>
      <c r="J701" s="1" t="s">
        <v>2590</v>
      </c>
      <c r="K701" s="1" t="s">
        <v>2590</v>
      </c>
      <c r="L701" s="1"/>
      <c r="M701" s="1"/>
      <c r="N701" s="1"/>
      <c r="O701" s="1" t="s">
        <v>2590</v>
      </c>
      <c r="P701" s="9"/>
      <c r="R701" s="16">
        <f ca="1">IF(ISNUMBER(SEARCH(INDIRECT(CELL("address")),S701)),MAX($R$1:R700)+1,0)</f>
        <v>700</v>
      </c>
      <c r="S701" s="18" t="str">
        <f>Table1[[#This Row],[Portico_Specialty]]&amp;"-"&amp;Table1[[#This Row],[Code]]</f>
        <v>Reflexologist-173C00000X</v>
      </c>
      <c r="U701" s="16" t="str">
        <f ca="1">IFERROR(VLOOKUP(ROWS($U$1:U700),$R$2:$S$918,2,FALSE),"")</f>
        <v>Reflexologist-173C00000X</v>
      </c>
    </row>
    <row r="702" spans="1:21" x14ac:dyDescent="0.3">
      <c r="A702" s="21" t="s">
        <v>321</v>
      </c>
      <c r="B702" s="21" t="str">
        <f>Table1[[#This Row],[Code]]&amp;" "&amp;Table1[[#This Row],[Portico_Specialty]]</f>
        <v>163W00000X Registered Nurse</v>
      </c>
      <c r="C702" s="21" t="str">
        <f>CLEAN(Table1[[#This Row],[Code]])</f>
        <v>163W00000X</v>
      </c>
      <c r="D702" s="1" t="s">
        <v>322</v>
      </c>
      <c r="E702" s="1"/>
      <c r="F702" s="4" t="s">
        <v>2619</v>
      </c>
      <c r="G702" s="3" t="s">
        <v>2588</v>
      </c>
      <c r="H702" s="1" t="s">
        <v>2758</v>
      </c>
      <c r="I702" s="1"/>
      <c r="J702" s="1" t="s">
        <v>2758</v>
      </c>
      <c r="K702" s="1" t="s">
        <v>2641</v>
      </c>
      <c r="L702" s="1" t="s">
        <v>2758</v>
      </c>
      <c r="M702" s="1" t="s">
        <v>2758</v>
      </c>
      <c r="N702" s="1" t="s">
        <v>2758</v>
      </c>
      <c r="O702" s="1" t="s">
        <v>2641</v>
      </c>
      <c r="P702" s="9"/>
      <c r="R702" s="16">
        <f ca="1">IF(ISNUMBER(SEARCH(INDIRECT(CELL("address")),S702)),MAX($R$1:R701)+1,0)</f>
        <v>701</v>
      </c>
      <c r="S702" s="18" t="str">
        <f>Table1[[#This Row],[Portico_Specialty]]&amp;"-"&amp;Table1[[#This Row],[Code]]</f>
        <v>Registered Nurse-163W00000X</v>
      </c>
      <c r="U702" s="16" t="str">
        <f ca="1">IFERROR(VLOOKUP(ROWS($U$1:U701),$R$2:$S$918,2,FALSE),"")</f>
        <v>Registered Nurse-163W00000X</v>
      </c>
    </row>
    <row r="703" spans="1:21" x14ac:dyDescent="0.3">
      <c r="A703" s="21" t="s">
        <v>2616</v>
      </c>
      <c r="B703" s="21" t="str">
        <f>Table1[[#This Row],[Code]]&amp;" "&amp;Table1[[#This Row],[Portico_Specialty]]</f>
        <v>AltSpec1 Registered Nurse Dual 399</v>
      </c>
      <c r="C703" s="21" t="str">
        <f>CLEAN(Table1[[#This Row],[Code]])</f>
        <v>AltSpec1</v>
      </c>
      <c r="D703" s="1" t="s">
        <v>2855</v>
      </c>
      <c r="E703" s="1"/>
      <c r="F703" s="1" t="s">
        <v>2587</v>
      </c>
      <c r="G703" s="3" t="s">
        <v>2588</v>
      </c>
      <c r="H703" s="1"/>
      <c r="I703" s="1"/>
      <c r="J703" s="1"/>
      <c r="K703" s="1" t="s">
        <v>2856</v>
      </c>
      <c r="L703" s="1"/>
      <c r="M703" s="1"/>
      <c r="N703" s="1"/>
      <c r="O703" s="1"/>
      <c r="P703" s="9"/>
      <c r="R703" s="16">
        <f ca="1">IF(ISNUMBER(SEARCH(INDIRECT(CELL("address")),S703)),MAX($R$1:R702)+1,0)</f>
        <v>702</v>
      </c>
      <c r="S703" s="18" t="str">
        <f>Table1[[#This Row],[Portico_Specialty]]&amp;"-"&amp;Table1[[#This Row],[Code]]</f>
        <v>Registered Nurse Dual 399-AltSpec1</v>
      </c>
      <c r="U703" s="16" t="str">
        <f ca="1">IFERROR(VLOOKUP(ROWS($U$1:U702),$R$2:$S$918,2,FALSE),"")</f>
        <v>Registered Nurse Dual 399-AltSpec1</v>
      </c>
    </row>
    <row r="704" spans="1:21" x14ac:dyDescent="0.3">
      <c r="A704" s="21" t="s">
        <v>2616</v>
      </c>
      <c r="B704" s="21" t="str">
        <f>Table1[[#This Row],[Code]]&amp;" "&amp;Table1[[#This Row],[Portico_Specialty]]</f>
        <v>AltSpec1 Registered Nurse Dual 699</v>
      </c>
      <c r="C704" s="21" t="str">
        <f>CLEAN(Table1[[#This Row],[Code]])</f>
        <v>AltSpec1</v>
      </c>
      <c r="D704" s="1" t="s">
        <v>2857</v>
      </c>
      <c r="E704" s="1"/>
      <c r="F704" s="1" t="s">
        <v>2587</v>
      </c>
      <c r="G704" s="3" t="s">
        <v>2588</v>
      </c>
      <c r="H704" s="1"/>
      <c r="I704" s="1"/>
      <c r="J704" s="1"/>
      <c r="K704" s="1" t="s">
        <v>2858</v>
      </c>
      <c r="L704" s="1"/>
      <c r="M704" s="1"/>
      <c r="N704" s="1"/>
      <c r="O704" s="1"/>
      <c r="P704" s="9"/>
      <c r="R704" s="16">
        <f ca="1">IF(ISNUMBER(SEARCH(INDIRECT(CELL("address")),S704)),MAX($R$1:R703)+1,0)</f>
        <v>703</v>
      </c>
      <c r="S704" s="18" t="str">
        <f>Table1[[#This Row],[Portico_Specialty]]&amp;"-"&amp;Table1[[#This Row],[Code]]</f>
        <v>Registered Nurse Dual 699-AltSpec1</v>
      </c>
      <c r="U704" s="16" t="str">
        <f ca="1">IFERROR(VLOOKUP(ROWS($U$1:U703),$R$2:$S$918,2,FALSE),"")</f>
        <v>Registered Nurse Dual 699-AltSpec1</v>
      </c>
    </row>
    <row r="705" spans="1:21" ht="30.75" x14ac:dyDescent="0.3">
      <c r="A705" s="21" t="s">
        <v>323</v>
      </c>
      <c r="B705" s="21" t="str">
        <f>Table1[[#This Row],[Code]]&amp;" "&amp;Table1[[#This Row],[Portico_Specialty]]</f>
        <v>163WA0400X Registered Nurse: Addiction (Substance Use Disorder)</v>
      </c>
      <c r="C705" s="21" t="str">
        <f>CLEAN(Table1[[#This Row],[Code]])</f>
        <v>163WA0400X</v>
      </c>
      <c r="D705" s="1" t="s">
        <v>324</v>
      </c>
      <c r="E705" s="1"/>
      <c r="F705" s="1" t="s">
        <v>2607</v>
      </c>
      <c r="G705" s="3" t="s">
        <v>2588</v>
      </c>
      <c r="H705" s="1" t="s">
        <v>2758</v>
      </c>
      <c r="I705" s="1"/>
      <c r="J705" s="1" t="s">
        <v>2758</v>
      </c>
      <c r="K705" s="1" t="s">
        <v>2641</v>
      </c>
      <c r="L705" s="1" t="s">
        <v>2758</v>
      </c>
      <c r="M705" s="1" t="s">
        <v>2758</v>
      </c>
      <c r="N705" s="1" t="s">
        <v>2758</v>
      </c>
      <c r="O705" s="1" t="s">
        <v>2641</v>
      </c>
      <c r="P705" s="9"/>
      <c r="R705" s="16">
        <f ca="1">IF(ISNUMBER(SEARCH(INDIRECT(CELL("address")),S705)),MAX($R$1:R704)+1,0)</f>
        <v>704</v>
      </c>
      <c r="S705" s="18" t="str">
        <f>Table1[[#This Row],[Portico_Specialty]]&amp;"-"&amp;Table1[[#This Row],[Code]]</f>
        <v>Registered Nurse: Addiction (Substance Use Disorder)-163WA0400X</v>
      </c>
      <c r="U705" s="16" t="str">
        <f ca="1">IFERROR(VLOOKUP(ROWS($U$1:U704),$R$2:$S$918,2,FALSE),"")</f>
        <v>Registered Nurse: Addiction (Substance Use Disorder)-163WA0400X</v>
      </c>
    </row>
    <row r="706" spans="1:21" x14ac:dyDescent="0.3">
      <c r="A706" s="21" t="s">
        <v>325</v>
      </c>
      <c r="B706" s="21" t="str">
        <f>Table1[[#This Row],[Code]]&amp;" "&amp;Table1[[#This Row],[Portico_Specialty]]</f>
        <v>163WA2000X Registered Nurse: Administrator</v>
      </c>
      <c r="C706" s="21" t="str">
        <f>CLEAN(Table1[[#This Row],[Code]])</f>
        <v>163WA2000X</v>
      </c>
      <c r="D706" s="1" t="s">
        <v>326</v>
      </c>
      <c r="E706" s="1"/>
      <c r="F706" s="1" t="s">
        <v>2587</v>
      </c>
      <c r="G706" s="3" t="s">
        <v>2588</v>
      </c>
      <c r="H706" s="1" t="s">
        <v>2758</v>
      </c>
      <c r="I706" s="1"/>
      <c r="J706" s="1" t="s">
        <v>2758</v>
      </c>
      <c r="K706" s="1" t="s">
        <v>2641</v>
      </c>
      <c r="L706" s="1" t="s">
        <v>2758</v>
      </c>
      <c r="M706" s="1" t="s">
        <v>2758</v>
      </c>
      <c r="N706" s="1" t="s">
        <v>2758</v>
      </c>
      <c r="O706" s="1" t="s">
        <v>2641</v>
      </c>
      <c r="P706" s="9"/>
      <c r="R706" s="16">
        <f ca="1">IF(ISNUMBER(SEARCH(INDIRECT(CELL("address")),S706)),MAX($R$1:R705)+1,0)</f>
        <v>705</v>
      </c>
      <c r="S706" s="18" t="str">
        <f>Table1[[#This Row],[Portico_Specialty]]&amp;"-"&amp;Table1[[#This Row],[Code]]</f>
        <v>Registered Nurse: Administrator-163WA2000X</v>
      </c>
      <c r="U706" s="16" t="str">
        <f ca="1">IFERROR(VLOOKUP(ROWS($U$1:U705),$R$2:$S$918,2,FALSE),"")</f>
        <v>Registered Nurse: Administrator-163WA2000X</v>
      </c>
    </row>
    <row r="707" spans="1:21" x14ac:dyDescent="0.3">
      <c r="A707" s="21" t="s">
        <v>399</v>
      </c>
      <c r="B707" s="21" t="str">
        <f>Table1[[#This Row],[Code]]&amp;" "&amp;Table1[[#This Row],[Portico_Specialty]]</f>
        <v>163WP2201X Registered Nurse: Ambulatory Care</v>
      </c>
      <c r="C707" s="21" t="str">
        <f>CLEAN(Table1[[#This Row],[Code]])</f>
        <v>163WP2201X</v>
      </c>
      <c r="D707" s="1" t="s">
        <v>400</v>
      </c>
      <c r="E707" s="1"/>
      <c r="F707" s="1" t="s">
        <v>2587</v>
      </c>
      <c r="G707" s="3" t="s">
        <v>2588</v>
      </c>
      <c r="H707" s="1" t="s">
        <v>2758</v>
      </c>
      <c r="I707" s="1"/>
      <c r="J707" s="1" t="s">
        <v>2758</v>
      </c>
      <c r="K707" s="1" t="s">
        <v>2641</v>
      </c>
      <c r="L707" s="1" t="s">
        <v>2758</v>
      </c>
      <c r="M707" s="1" t="s">
        <v>2758</v>
      </c>
      <c r="N707" s="1" t="s">
        <v>2758</v>
      </c>
      <c r="O707" s="1" t="s">
        <v>2641</v>
      </c>
      <c r="P707" s="9"/>
      <c r="R707" s="16">
        <f ca="1">IF(ISNUMBER(SEARCH(INDIRECT(CELL("address")),S707)),MAX($R$1:R706)+1,0)</f>
        <v>706</v>
      </c>
      <c r="S707" s="18" t="str">
        <f>Table1[[#This Row],[Portico_Specialty]]&amp;"-"&amp;Table1[[#This Row],[Code]]</f>
        <v>Registered Nurse: Ambulatory Care-163WP2201X</v>
      </c>
      <c r="U707" s="16" t="str">
        <f ca="1">IFERROR(VLOOKUP(ROWS($U$1:U706),$R$2:$S$918,2,FALSE),"")</f>
        <v>Registered Nurse: Ambulatory Care-163WP2201X</v>
      </c>
    </row>
    <row r="708" spans="1:21" x14ac:dyDescent="0.3">
      <c r="A708" s="21" t="s">
        <v>339</v>
      </c>
      <c r="B708" s="21" t="str">
        <f>Table1[[#This Row],[Code]]&amp;" "&amp;Table1[[#This Row],[Portico_Specialty]]</f>
        <v>163WC3500X Registered Nurse: Cardiac Rehabilitation</v>
      </c>
      <c r="C708" s="21" t="str">
        <f>CLEAN(Table1[[#This Row],[Code]])</f>
        <v>163WC3500X</v>
      </c>
      <c r="D708" s="1" t="s">
        <v>340</v>
      </c>
      <c r="E708" s="1"/>
      <c r="F708" s="1" t="s">
        <v>2587</v>
      </c>
      <c r="G708" s="3" t="s">
        <v>2588</v>
      </c>
      <c r="H708" s="1" t="s">
        <v>2758</v>
      </c>
      <c r="I708" s="1"/>
      <c r="J708" s="1" t="s">
        <v>2758</v>
      </c>
      <c r="K708" s="1" t="s">
        <v>2641</v>
      </c>
      <c r="L708" s="1" t="s">
        <v>2758</v>
      </c>
      <c r="M708" s="1" t="s">
        <v>2758</v>
      </c>
      <c r="N708" s="1"/>
      <c r="O708" s="1" t="s">
        <v>2641</v>
      </c>
      <c r="P708" s="9"/>
      <c r="R708" s="16">
        <f ca="1">IF(ISNUMBER(SEARCH(INDIRECT(CELL("address")),S708)),MAX($R$1:R707)+1,0)</f>
        <v>707</v>
      </c>
      <c r="S708" s="18" t="str">
        <f>Table1[[#This Row],[Portico_Specialty]]&amp;"-"&amp;Table1[[#This Row],[Code]]</f>
        <v>Registered Nurse: Cardiac Rehabilitation-163WC3500X</v>
      </c>
      <c r="U708" s="16" t="str">
        <f ca="1">IFERROR(VLOOKUP(ROWS($U$1:U707),$R$2:$S$918,2,FALSE),"")</f>
        <v>Registered Nurse: Cardiac Rehabilitation-163WC3500X</v>
      </c>
    </row>
    <row r="709" spans="1:21" x14ac:dyDescent="0.3">
      <c r="A709" s="21" t="s">
        <v>329</v>
      </c>
      <c r="B709" s="21" t="str">
        <f>Table1[[#This Row],[Code]]&amp;" "&amp;Table1[[#This Row],[Portico_Specialty]]</f>
        <v>163WC0400X Registered Nurse: Case Management</v>
      </c>
      <c r="C709" s="21" t="str">
        <f>CLEAN(Table1[[#This Row],[Code]])</f>
        <v>163WC0400X</v>
      </c>
      <c r="D709" s="1" t="s">
        <v>330</v>
      </c>
      <c r="E709" s="1"/>
      <c r="F709" s="1" t="s">
        <v>2587</v>
      </c>
      <c r="G709" s="3" t="s">
        <v>2588</v>
      </c>
      <c r="H709" s="1" t="s">
        <v>2758</v>
      </c>
      <c r="I709" s="1"/>
      <c r="J709" s="1" t="s">
        <v>2758</v>
      </c>
      <c r="K709" s="1" t="s">
        <v>2758</v>
      </c>
      <c r="L709" s="1" t="s">
        <v>2758</v>
      </c>
      <c r="M709" s="1" t="s">
        <v>2758</v>
      </c>
      <c r="N709" s="1"/>
      <c r="O709" s="1" t="s">
        <v>2758</v>
      </c>
      <c r="P709" s="9"/>
      <c r="R709" s="16">
        <f ca="1">IF(ISNUMBER(SEARCH(INDIRECT(CELL("address")),S709)),MAX($R$1:R708)+1,0)</f>
        <v>708</v>
      </c>
      <c r="S709" s="18" t="str">
        <f>Table1[[#This Row],[Portico_Specialty]]&amp;"-"&amp;Table1[[#This Row],[Code]]</f>
        <v>Registered Nurse: Case Management-163WC0400X</v>
      </c>
      <c r="U709" s="16" t="str">
        <f ca="1">IFERROR(VLOOKUP(ROWS($U$1:U708),$R$2:$S$918,2,FALSE),"")</f>
        <v>Registered Nurse: Case Management-163WC0400X</v>
      </c>
    </row>
    <row r="710" spans="1:21" x14ac:dyDescent="0.3">
      <c r="A710" s="21" t="s">
        <v>331</v>
      </c>
      <c r="B710" s="21" t="str">
        <f>Table1[[#This Row],[Code]]&amp;" "&amp;Table1[[#This Row],[Portico_Specialty]]</f>
        <v>163WC1400X Registered Nurse: College Health</v>
      </c>
      <c r="C710" s="21" t="str">
        <f>CLEAN(Table1[[#This Row],[Code]])</f>
        <v>163WC1400X</v>
      </c>
      <c r="D710" s="1" t="s">
        <v>332</v>
      </c>
      <c r="E710" s="1"/>
      <c r="F710" s="1" t="s">
        <v>2587</v>
      </c>
      <c r="G710" s="3" t="s">
        <v>2588</v>
      </c>
      <c r="H710" s="1" t="s">
        <v>2758</v>
      </c>
      <c r="I710" s="1"/>
      <c r="J710" s="1" t="s">
        <v>2758</v>
      </c>
      <c r="K710" s="1" t="s">
        <v>2641</v>
      </c>
      <c r="L710" s="1" t="s">
        <v>2758</v>
      </c>
      <c r="M710" s="1" t="s">
        <v>2758</v>
      </c>
      <c r="N710" s="1" t="s">
        <v>2758</v>
      </c>
      <c r="O710" s="1" t="s">
        <v>2641</v>
      </c>
      <c r="P710" s="9"/>
      <c r="R710" s="16">
        <f ca="1">IF(ISNUMBER(SEARCH(INDIRECT(CELL("address")),S710)),MAX($R$1:R709)+1,0)</f>
        <v>709</v>
      </c>
      <c r="S710" s="18" t="str">
        <f>Table1[[#This Row],[Portico_Specialty]]&amp;"-"&amp;Table1[[#This Row],[Code]]</f>
        <v>Registered Nurse: College Health-163WC1400X</v>
      </c>
      <c r="U710" s="16" t="str">
        <f ca="1">IFERROR(VLOOKUP(ROWS($U$1:U709),$R$2:$S$918,2,FALSE),"")</f>
        <v>Registered Nurse: College Health-163WC1400X</v>
      </c>
    </row>
    <row r="711" spans="1:21" x14ac:dyDescent="0.3">
      <c r="A711" s="21" t="s">
        <v>333</v>
      </c>
      <c r="B711" s="21" t="str">
        <f>Table1[[#This Row],[Code]]&amp;" "&amp;Table1[[#This Row],[Portico_Specialty]]</f>
        <v>163WC1500X Registered Nurse: Community Health</v>
      </c>
      <c r="C711" s="21" t="str">
        <f>CLEAN(Table1[[#This Row],[Code]])</f>
        <v>163WC1500X</v>
      </c>
      <c r="D711" s="1" t="s">
        <v>334</v>
      </c>
      <c r="E711" s="1"/>
      <c r="F711" s="1" t="s">
        <v>2587</v>
      </c>
      <c r="G711" s="3" t="s">
        <v>2588</v>
      </c>
      <c r="H711" s="1" t="s">
        <v>2758</v>
      </c>
      <c r="I711" s="1"/>
      <c r="J711" s="1" t="s">
        <v>2758</v>
      </c>
      <c r="K711" s="1" t="s">
        <v>2641</v>
      </c>
      <c r="L711" s="1" t="s">
        <v>2758</v>
      </c>
      <c r="M711" s="1" t="s">
        <v>2758</v>
      </c>
      <c r="N711" s="1" t="s">
        <v>2758</v>
      </c>
      <c r="O711" s="1" t="s">
        <v>2641</v>
      </c>
      <c r="P711" s="9"/>
      <c r="R711" s="16">
        <f ca="1">IF(ISNUMBER(SEARCH(INDIRECT(CELL("address")),S711)),MAX($R$1:R710)+1,0)</f>
        <v>710</v>
      </c>
      <c r="S711" s="18" t="str">
        <f>Table1[[#This Row],[Portico_Specialty]]&amp;"-"&amp;Table1[[#This Row],[Code]]</f>
        <v>Registered Nurse: Community Health-163WC1500X</v>
      </c>
      <c r="U711" s="16" t="str">
        <f ca="1">IFERROR(VLOOKUP(ROWS($U$1:U710),$R$2:$S$918,2,FALSE),"")</f>
        <v>Registered Nurse: Community Health-163WC1500X</v>
      </c>
    </row>
    <row r="712" spans="1:21" x14ac:dyDescent="0.3">
      <c r="A712" s="21" t="s">
        <v>337</v>
      </c>
      <c r="B712" s="21" t="str">
        <f>Table1[[#This Row],[Code]]&amp;" "&amp;Table1[[#This Row],[Portico_Specialty]]</f>
        <v>163WC2100X Registered Nurse: Continence Care</v>
      </c>
      <c r="C712" s="21" t="str">
        <f>CLEAN(Table1[[#This Row],[Code]])</f>
        <v>163WC2100X</v>
      </c>
      <c r="D712" s="1" t="s">
        <v>338</v>
      </c>
      <c r="E712" s="1"/>
      <c r="F712" s="1" t="s">
        <v>2587</v>
      </c>
      <c r="G712" s="3" t="s">
        <v>2588</v>
      </c>
      <c r="H712" s="1" t="s">
        <v>2758</v>
      </c>
      <c r="I712" s="1"/>
      <c r="J712" s="1" t="s">
        <v>2758</v>
      </c>
      <c r="K712" s="1" t="s">
        <v>2641</v>
      </c>
      <c r="L712" s="1" t="s">
        <v>2758</v>
      </c>
      <c r="M712" s="1" t="s">
        <v>2758</v>
      </c>
      <c r="N712" s="1" t="s">
        <v>2758</v>
      </c>
      <c r="O712" s="1" t="s">
        <v>2641</v>
      </c>
      <c r="P712" s="9"/>
      <c r="R712" s="16">
        <f ca="1">IF(ISNUMBER(SEARCH(INDIRECT(CELL("address")),S712)),MAX($R$1:R711)+1,0)</f>
        <v>711</v>
      </c>
      <c r="S712" s="18" t="str">
        <f>Table1[[#This Row],[Portico_Specialty]]&amp;"-"&amp;Table1[[#This Row],[Code]]</f>
        <v>Registered Nurse: Continence Care-163WC2100X</v>
      </c>
      <c r="U712" s="16" t="str">
        <f ca="1">IFERROR(VLOOKUP(ROWS($U$1:U711),$R$2:$S$918,2,FALSE),"")</f>
        <v>Registered Nurse: Continence Care-163WC2100X</v>
      </c>
    </row>
    <row r="713" spans="1:21" ht="30.75" x14ac:dyDescent="0.3">
      <c r="A713" s="21" t="s">
        <v>335</v>
      </c>
      <c r="B713" s="21" t="str">
        <f>Table1[[#This Row],[Code]]&amp;" "&amp;Table1[[#This Row],[Portico_Specialty]]</f>
        <v>163WC1600X Registered Nurse: Continuing Education/Staff Development</v>
      </c>
      <c r="C713" s="21" t="str">
        <f>CLEAN(Table1[[#This Row],[Code]])</f>
        <v>163WC1600X</v>
      </c>
      <c r="D713" s="1" t="s">
        <v>336</v>
      </c>
      <c r="E713" s="1"/>
      <c r="F713" s="1" t="s">
        <v>2587</v>
      </c>
      <c r="G713" s="3" t="s">
        <v>2588</v>
      </c>
      <c r="H713" s="1" t="s">
        <v>2758</v>
      </c>
      <c r="I713" s="1"/>
      <c r="J713" s="1" t="s">
        <v>2758</v>
      </c>
      <c r="K713" s="1" t="s">
        <v>2641</v>
      </c>
      <c r="L713" s="1" t="s">
        <v>2758</v>
      </c>
      <c r="M713" s="1" t="s">
        <v>2758</v>
      </c>
      <c r="N713" s="1" t="s">
        <v>2758</v>
      </c>
      <c r="O713" s="1" t="s">
        <v>2641</v>
      </c>
      <c r="P713" s="9"/>
      <c r="R713" s="16">
        <f ca="1">IF(ISNUMBER(SEARCH(INDIRECT(CELL("address")),S713)),MAX($R$1:R712)+1,0)</f>
        <v>712</v>
      </c>
      <c r="S713" s="18" t="str">
        <f>Table1[[#This Row],[Portico_Specialty]]&amp;"-"&amp;Table1[[#This Row],[Code]]</f>
        <v>Registered Nurse: Continuing Education/Staff Development-163WC1600X</v>
      </c>
      <c r="U713" s="16" t="str">
        <f ca="1">IFERROR(VLOOKUP(ROWS($U$1:U712),$R$2:$S$918,2,FALSE),"")</f>
        <v>Registered Nurse: Continuing Education/Staff Development-163WC1600X</v>
      </c>
    </row>
    <row r="714" spans="1:21" x14ac:dyDescent="0.3">
      <c r="A714" s="21" t="s">
        <v>327</v>
      </c>
      <c r="B714" s="21" t="str">
        <f>Table1[[#This Row],[Code]]&amp;" "&amp;Table1[[#This Row],[Portico_Specialty]]</f>
        <v>163WC0200X Registered Nurse: Critical Care Medicine</v>
      </c>
      <c r="C714" s="21" t="str">
        <f>CLEAN(Table1[[#This Row],[Code]])</f>
        <v>163WC0200X</v>
      </c>
      <c r="D714" s="1" t="s">
        <v>328</v>
      </c>
      <c r="E714" s="1"/>
      <c r="F714" s="1" t="s">
        <v>2587</v>
      </c>
      <c r="G714" s="3" t="s">
        <v>2588</v>
      </c>
      <c r="H714" s="1" t="s">
        <v>2758</v>
      </c>
      <c r="I714" s="1"/>
      <c r="J714" s="1" t="s">
        <v>2758</v>
      </c>
      <c r="K714" s="1" t="s">
        <v>2641</v>
      </c>
      <c r="L714" s="1" t="s">
        <v>2758</v>
      </c>
      <c r="M714" s="1" t="s">
        <v>2758</v>
      </c>
      <c r="N714" s="1" t="s">
        <v>2758</v>
      </c>
      <c r="O714" s="1" t="s">
        <v>2641</v>
      </c>
      <c r="P714" s="9"/>
      <c r="R714" s="16">
        <f ca="1">IF(ISNUMBER(SEARCH(INDIRECT(CELL("address")),S714)),MAX($R$1:R713)+1,0)</f>
        <v>713</v>
      </c>
      <c r="S714" s="18" t="str">
        <f>Table1[[#This Row],[Portico_Specialty]]&amp;"-"&amp;Table1[[#This Row],[Code]]</f>
        <v>Registered Nurse: Critical Care Medicine-163WC0200X</v>
      </c>
      <c r="U714" s="16" t="str">
        <f ca="1">IFERROR(VLOOKUP(ROWS($U$1:U713),$R$2:$S$918,2,FALSE),"")</f>
        <v>Registered Nurse: Critical Care Medicine-163WC0200X</v>
      </c>
    </row>
    <row r="715" spans="1:21" x14ac:dyDescent="0.3">
      <c r="A715" s="21" t="s">
        <v>341</v>
      </c>
      <c r="B715" s="21" t="str">
        <f>Table1[[#This Row],[Code]]&amp;" "&amp;Table1[[#This Row],[Portico_Specialty]]</f>
        <v>163WD0400X Registered Nurse: Diabetes Educator</v>
      </c>
      <c r="C715" s="21" t="str">
        <f>CLEAN(Table1[[#This Row],[Code]])</f>
        <v>163WD0400X</v>
      </c>
      <c r="D715" s="1" t="s">
        <v>342</v>
      </c>
      <c r="E715" s="1"/>
      <c r="F715" s="1" t="s">
        <v>2587</v>
      </c>
      <c r="G715" s="3" t="s">
        <v>2588</v>
      </c>
      <c r="H715" s="1" t="s">
        <v>2758</v>
      </c>
      <c r="I715" s="1"/>
      <c r="J715" s="1" t="s">
        <v>2758</v>
      </c>
      <c r="K715" s="1" t="s">
        <v>2641</v>
      </c>
      <c r="L715" s="1" t="s">
        <v>2758</v>
      </c>
      <c r="M715" s="1" t="s">
        <v>2758</v>
      </c>
      <c r="N715" s="1" t="s">
        <v>2758</v>
      </c>
      <c r="O715" s="1" t="s">
        <v>2641</v>
      </c>
      <c r="P715" s="9"/>
      <c r="R715" s="16">
        <f ca="1">IF(ISNUMBER(SEARCH(INDIRECT(CELL("address")),S715)),MAX($R$1:R714)+1,0)</f>
        <v>714</v>
      </c>
      <c r="S715" s="18" t="str">
        <f>Table1[[#This Row],[Portico_Specialty]]&amp;"-"&amp;Table1[[#This Row],[Code]]</f>
        <v>Registered Nurse: Diabetes Educator-163WD0400X</v>
      </c>
      <c r="U715" s="16" t="str">
        <f ca="1">IFERROR(VLOOKUP(ROWS($U$1:U714),$R$2:$S$918,2,FALSE),"")</f>
        <v>Registered Nurse: Diabetes Educator-163WD0400X</v>
      </c>
    </row>
    <row r="716" spans="1:21" x14ac:dyDescent="0.3">
      <c r="A716" s="21" t="s">
        <v>343</v>
      </c>
      <c r="B716" s="21" t="str">
        <f>Table1[[#This Row],[Code]]&amp;" "&amp;Table1[[#This Row],[Portico_Specialty]]</f>
        <v>163WD1100X Registered Nurse: Dialysis, Peritoneal</v>
      </c>
      <c r="C716" s="21" t="str">
        <f>CLEAN(Table1[[#This Row],[Code]])</f>
        <v>163WD1100X</v>
      </c>
      <c r="D716" s="1" t="s">
        <v>344</v>
      </c>
      <c r="E716" s="1"/>
      <c r="F716" s="1" t="s">
        <v>2587</v>
      </c>
      <c r="G716" s="3" t="s">
        <v>2588</v>
      </c>
      <c r="H716" s="1" t="s">
        <v>2758</v>
      </c>
      <c r="I716" s="1"/>
      <c r="J716" s="1" t="s">
        <v>2758</v>
      </c>
      <c r="K716" s="1" t="s">
        <v>2641</v>
      </c>
      <c r="L716" s="1" t="s">
        <v>2758</v>
      </c>
      <c r="M716" s="1" t="s">
        <v>2758</v>
      </c>
      <c r="N716" s="1" t="s">
        <v>2758</v>
      </c>
      <c r="O716" s="1" t="s">
        <v>2641</v>
      </c>
      <c r="P716" s="9"/>
      <c r="R716" s="16">
        <f ca="1">IF(ISNUMBER(SEARCH(INDIRECT(CELL("address")),S716)),MAX($R$1:R715)+1,0)</f>
        <v>715</v>
      </c>
      <c r="S716" s="18" t="str">
        <f>Table1[[#This Row],[Portico_Specialty]]&amp;"-"&amp;Table1[[#This Row],[Code]]</f>
        <v>Registered Nurse: Dialysis, Peritoneal-163WD1100X</v>
      </c>
      <c r="U716" s="16" t="str">
        <f ca="1">IFERROR(VLOOKUP(ROWS($U$1:U715),$R$2:$S$918,2,FALSE),"")</f>
        <v>Registered Nurse: Dialysis, Peritoneal-163WD1100X</v>
      </c>
    </row>
    <row r="717" spans="1:21" x14ac:dyDescent="0.3">
      <c r="A717" s="21" t="s">
        <v>345</v>
      </c>
      <c r="B717" s="21" t="str">
        <f>Table1[[#This Row],[Code]]&amp;" "&amp;Table1[[#This Row],[Portico_Specialty]]</f>
        <v>163WE0003X Registered Nurse: Emergency</v>
      </c>
      <c r="C717" s="21" t="str">
        <f>CLEAN(Table1[[#This Row],[Code]])</f>
        <v>163WE0003X</v>
      </c>
      <c r="D717" s="1" t="s">
        <v>346</v>
      </c>
      <c r="E717" s="1"/>
      <c r="F717" s="1" t="s">
        <v>2587</v>
      </c>
      <c r="G717" s="3" t="s">
        <v>2588</v>
      </c>
      <c r="H717" s="1" t="s">
        <v>2758</v>
      </c>
      <c r="I717" s="1"/>
      <c r="J717" s="1" t="s">
        <v>2758</v>
      </c>
      <c r="K717" s="1" t="s">
        <v>2641</v>
      </c>
      <c r="L717" s="1" t="s">
        <v>2758</v>
      </c>
      <c r="M717" s="1" t="s">
        <v>2758</v>
      </c>
      <c r="N717" s="1" t="s">
        <v>2758</v>
      </c>
      <c r="O717" s="1" t="s">
        <v>2641</v>
      </c>
      <c r="P717" s="9"/>
      <c r="R717" s="16">
        <f ca="1">IF(ISNUMBER(SEARCH(INDIRECT(CELL("address")),S717)),MAX($R$1:R716)+1,0)</f>
        <v>716</v>
      </c>
      <c r="S717" s="18" t="str">
        <f>Table1[[#This Row],[Portico_Specialty]]&amp;"-"&amp;Table1[[#This Row],[Code]]</f>
        <v>Registered Nurse: Emergency-163WE0003X</v>
      </c>
      <c r="U717" s="16" t="str">
        <f ca="1">IFERROR(VLOOKUP(ROWS($U$1:U716),$R$2:$S$918,2,FALSE),"")</f>
        <v>Registered Nurse: Emergency-163WE0003X</v>
      </c>
    </row>
    <row r="718" spans="1:21" x14ac:dyDescent="0.3">
      <c r="A718" s="21" t="s">
        <v>347</v>
      </c>
      <c r="B718" s="21" t="str">
        <f>Table1[[#This Row],[Code]]&amp;" "&amp;Table1[[#This Row],[Portico_Specialty]]</f>
        <v>163WE0900X Registered Nurse: Enterostomal Therapy</v>
      </c>
      <c r="C718" s="21" t="str">
        <f>CLEAN(Table1[[#This Row],[Code]])</f>
        <v>163WE0900X</v>
      </c>
      <c r="D718" s="1" t="s">
        <v>348</v>
      </c>
      <c r="E718" s="1"/>
      <c r="F718" s="1" t="s">
        <v>2587</v>
      </c>
      <c r="G718" s="3" t="s">
        <v>2588</v>
      </c>
      <c r="H718" s="1" t="s">
        <v>2758</v>
      </c>
      <c r="I718" s="1"/>
      <c r="J718" s="1" t="s">
        <v>2758</v>
      </c>
      <c r="K718" s="1" t="s">
        <v>2641</v>
      </c>
      <c r="L718" s="1" t="s">
        <v>2758</v>
      </c>
      <c r="M718" s="1" t="s">
        <v>2758</v>
      </c>
      <c r="N718" s="1" t="s">
        <v>2758</v>
      </c>
      <c r="O718" s="1" t="s">
        <v>2641</v>
      </c>
      <c r="P718" s="9"/>
      <c r="R718" s="16">
        <f ca="1">IF(ISNUMBER(SEARCH(INDIRECT(CELL("address")),S718)),MAX($R$1:R717)+1,0)</f>
        <v>717</v>
      </c>
      <c r="S718" s="18" t="str">
        <f>Table1[[#This Row],[Portico_Specialty]]&amp;"-"&amp;Table1[[#This Row],[Code]]</f>
        <v>Registered Nurse: Enterostomal Therapy-163WE0900X</v>
      </c>
      <c r="U718" s="16" t="str">
        <f ca="1">IFERROR(VLOOKUP(ROWS($U$1:U717),$R$2:$S$918,2,FALSE),"")</f>
        <v>Registered Nurse: Enterostomal Therapy-163WE0900X</v>
      </c>
    </row>
    <row r="719" spans="1:21" x14ac:dyDescent="0.3">
      <c r="A719" s="21" t="s">
        <v>349</v>
      </c>
      <c r="B719" s="21" t="str">
        <f>Table1[[#This Row],[Code]]&amp;" "&amp;Table1[[#This Row],[Portico_Specialty]]</f>
        <v>163WF0300X Registered Nurse: Flight</v>
      </c>
      <c r="C719" s="21" t="str">
        <f>CLEAN(Table1[[#This Row],[Code]])</f>
        <v>163WF0300X</v>
      </c>
      <c r="D719" s="1" t="s">
        <v>350</v>
      </c>
      <c r="E719" s="1"/>
      <c r="F719" s="1" t="s">
        <v>2587</v>
      </c>
      <c r="G719" s="3" t="s">
        <v>2588</v>
      </c>
      <c r="H719" s="1" t="s">
        <v>2758</v>
      </c>
      <c r="I719" s="1"/>
      <c r="J719" s="1" t="s">
        <v>2758</v>
      </c>
      <c r="K719" s="1" t="s">
        <v>2641</v>
      </c>
      <c r="L719" s="1" t="s">
        <v>2758</v>
      </c>
      <c r="M719" s="1" t="s">
        <v>2758</v>
      </c>
      <c r="N719" s="1" t="s">
        <v>2758</v>
      </c>
      <c r="O719" s="1" t="s">
        <v>2641</v>
      </c>
      <c r="P719" s="9"/>
      <c r="R719" s="16">
        <f ca="1">IF(ISNUMBER(SEARCH(INDIRECT(CELL("address")),S719)),MAX($R$1:R718)+1,0)</f>
        <v>718</v>
      </c>
      <c r="S719" s="18" t="str">
        <f>Table1[[#This Row],[Portico_Specialty]]&amp;"-"&amp;Table1[[#This Row],[Code]]</f>
        <v>Registered Nurse: Flight-163WF0300X</v>
      </c>
      <c r="U719" s="16" t="str">
        <f ca="1">IFERROR(VLOOKUP(ROWS($U$1:U718),$R$2:$S$918,2,FALSE),"")</f>
        <v>Registered Nurse: Flight-163WF0300X</v>
      </c>
    </row>
    <row r="720" spans="1:21" x14ac:dyDescent="0.3">
      <c r="A720" s="21" t="s">
        <v>353</v>
      </c>
      <c r="B720" s="21" t="str">
        <f>Table1[[#This Row],[Code]]&amp;" "&amp;Table1[[#This Row],[Portico_Specialty]]</f>
        <v>163WG0100X Registered Nurse: Gastroenterology</v>
      </c>
      <c r="C720" s="21" t="str">
        <f>CLEAN(Table1[[#This Row],[Code]])</f>
        <v>163WG0100X</v>
      </c>
      <c r="D720" s="1" t="s">
        <v>354</v>
      </c>
      <c r="E720" s="1"/>
      <c r="F720" s="1" t="s">
        <v>2587</v>
      </c>
      <c r="G720" s="3" t="s">
        <v>2588</v>
      </c>
      <c r="H720" s="1" t="s">
        <v>2758</v>
      </c>
      <c r="I720" s="1"/>
      <c r="J720" s="1" t="s">
        <v>2758</v>
      </c>
      <c r="K720" s="1" t="s">
        <v>2641</v>
      </c>
      <c r="L720" s="1" t="s">
        <v>2758</v>
      </c>
      <c r="M720" s="1" t="s">
        <v>2758</v>
      </c>
      <c r="N720" s="1" t="s">
        <v>2758</v>
      </c>
      <c r="O720" s="1" t="s">
        <v>2641</v>
      </c>
      <c r="P720" s="9"/>
      <c r="R720" s="16">
        <f ca="1">IF(ISNUMBER(SEARCH(INDIRECT(CELL("address")),S720)),MAX($R$1:R719)+1,0)</f>
        <v>719</v>
      </c>
      <c r="S720" s="18" t="str">
        <f>Table1[[#This Row],[Portico_Specialty]]&amp;"-"&amp;Table1[[#This Row],[Code]]</f>
        <v>Registered Nurse: Gastroenterology-163WG0100X</v>
      </c>
      <c r="U720" s="16" t="str">
        <f ca="1">IFERROR(VLOOKUP(ROWS($U$1:U719),$R$2:$S$918,2,FALSE),"")</f>
        <v>Registered Nurse: Gastroenterology-163WG0100X</v>
      </c>
    </row>
    <row r="721" spans="1:21" x14ac:dyDescent="0.3">
      <c r="A721" s="21" t="s">
        <v>351</v>
      </c>
      <c r="B721" s="21" t="str">
        <f>Table1[[#This Row],[Code]]&amp;" "&amp;Table1[[#This Row],[Portico_Specialty]]</f>
        <v>163WG0000X Registered Nurse: General Practice</v>
      </c>
      <c r="C721" s="21" t="str">
        <f>CLEAN(Table1[[#This Row],[Code]])</f>
        <v>163WG0000X</v>
      </c>
      <c r="D721" s="1" t="s">
        <v>352</v>
      </c>
      <c r="E721" s="1"/>
      <c r="F721" s="1" t="s">
        <v>2587</v>
      </c>
      <c r="G721" s="3" t="s">
        <v>2588</v>
      </c>
      <c r="H721" s="1" t="s">
        <v>2758</v>
      </c>
      <c r="I721" s="1"/>
      <c r="J721" s="1" t="s">
        <v>2758</v>
      </c>
      <c r="K721" s="1" t="s">
        <v>2641</v>
      </c>
      <c r="L721" s="1" t="s">
        <v>2758</v>
      </c>
      <c r="M721" s="1" t="s">
        <v>2758</v>
      </c>
      <c r="N721" s="1" t="s">
        <v>2758</v>
      </c>
      <c r="O721" s="1" t="s">
        <v>2641</v>
      </c>
      <c r="P721" s="9"/>
      <c r="R721" s="16">
        <f ca="1">IF(ISNUMBER(SEARCH(INDIRECT(CELL("address")),S721)),MAX($R$1:R720)+1,0)</f>
        <v>720</v>
      </c>
      <c r="S721" s="18" t="str">
        <f>Table1[[#This Row],[Portico_Specialty]]&amp;"-"&amp;Table1[[#This Row],[Code]]</f>
        <v>Registered Nurse: General Practice-163WG0000X</v>
      </c>
      <c r="U721" s="16" t="str">
        <f ca="1">IFERROR(VLOOKUP(ROWS($U$1:U720),$R$2:$S$918,2,FALSE),"")</f>
        <v>Registered Nurse: General Practice-163WG0000X</v>
      </c>
    </row>
    <row r="722" spans="1:21" x14ac:dyDescent="0.3">
      <c r="A722" s="21" t="s">
        <v>355</v>
      </c>
      <c r="B722" s="21" t="str">
        <f>Table1[[#This Row],[Code]]&amp;" "&amp;Table1[[#This Row],[Portico_Specialty]]</f>
        <v>163WG0600X Registered Nurse: Gerontology</v>
      </c>
      <c r="C722" s="21" t="str">
        <f>CLEAN(Table1[[#This Row],[Code]])</f>
        <v>163WG0600X</v>
      </c>
      <c r="D722" s="1" t="s">
        <v>356</v>
      </c>
      <c r="E722" s="1"/>
      <c r="F722" s="1" t="s">
        <v>2587</v>
      </c>
      <c r="G722" s="3" t="s">
        <v>2588</v>
      </c>
      <c r="H722" s="1" t="s">
        <v>2758</v>
      </c>
      <c r="I722" s="1"/>
      <c r="J722" s="1" t="s">
        <v>2758</v>
      </c>
      <c r="K722" s="1" t="s">
        <v>2641</v>
      </c>
      <c r="L722" s="1" t="s">
        <v>2758</v>
      </c>
      <c r="M722" s="1" t="s">
        <v>2758</v>
      </c>
      <c r="N722" s="1" t="s">
        <v>2758</v>
      </c>
      <c r="O722" s="1" t="s">
        <v>2641</v>
      </c>
      <c r="P722" s="9"/>
      <c r="R722" s="16">
        <f ca="1">IF(ISNUMBER(SEARCH(INDIRECT(CELL("address")),S722)),MAX($R$1:R721)+1,0)</f>
        <v>721</v>
      </c>
      <c r="S722" s="18" t="str">
        <f>Table1[[#This Row],[Portico_Specialty]]&amp;"-"&amp;Table1[[#This Row],[Code]]</f>
        <v>Registered Nurse: Gerontology-163WG0600X</v>
      </c>
      <c r="U722" s="16" t="str">
        <f ca="1">IFERROR(VLOOKUP(ROWS($U$1:U721),$R$2:$S$918,2,FALSE),"")</f>
        <v>Registered Nurse: Gerontology-163WG0600X</v>
      </c>
    </row>
    <row r="723" spans="1:21" x14ac:dyDescent="0.3">
      <c r="A723" s="21" t="s">
        <v>359</v>
      </c>
      <c r="B723" s="21" t="str">
        <f>Table1[[#This Row],[Code]]&amp;" "&amp;Table1[[#This Row],[Portico_Specialty]]</f>
        <v>163WH0500X Registered Nurse: Hemodialysis</v>
      </c>
      <c r="C723" s="21" t="str">
        <f>CLEAN(Table1[[#This Row],[Code]])</f>
        <v>163WH0500X</v>
      </c>
      <c r="D723" s="1" t="s">
        <v>360</v>
      </c>
      <c r="E723" s="1"/>
      <c r="F723" s="1" t="s">
        <v>2587</v>
      </c>
      <c r="G723" s="3" t="s">
        <v>2588</v>
      </c>
      <c r="H723" s="1" t="s">
        <v>2758</v>
      </c>
      <c r="I723" s="1"/>
      <c r="J723" s="1" t="s">
        <v>2758</v>
      </c>
      <c r="K723" s="1" t="s">
        <v>2641</v>
      </c>
      <c r="L723" s="1" t="s">
        <v>2758</v>
      </c>
      <c r="M723" s="1" t="s">
        <v>2758</v>
      </c>
      <c r="N723" s="1" t="s">
        <v>2758</v>
      </c>
      <c r="O723" s="1" t="s">
        <v>2641</v>
      </c>
      <c r="P723" s="9"/>
      <c r="R723" s="16">
        <f ca="1">IF(ISNUMBER(SEARCH(INDIRECT(CELL("address")),S723)),MAX($R$1:R722)+1,0)</f>
        <v>722</v>
      </c>
      <c r="S723" s="18" t="str">
        <f>Table1[[#This Row],[Portico_Specialty]]&amp;"-"&amp;Table1[[#This Row],[Code]]</f>
        <v>Registered Nurse: Hemodialysis-163WH0500X</v>
      </c>
      <c r="U723" s="16" t="str">
        <f ca="1">IFERROR(VLOOKUP(ROWS($U$1:U722),$R$2:$S$918,2,FALSE),"")</f>
        <v>Registered Nurse: Hemodialysis-163WH0500X</v>
      </c>
    </row>
    <row r="724" spans="1:21" x14ac:dyDescent="0.3">
      <c r="A724" s="21" t="s">
        <v>357</v>
      </c>
      <c r="B724" s="21" t="str">
        <f>Table1[[#This Row],[Code]]&amp;" "&amp;Table1[[#This Row],[Portico_Specialty]]</f>
        <v>163WH0200X Registered Nurse: Home Health</v>
      </c>
      <c r="C724" s="21" t="str">
        <f>CLEAN(Table1[[#This Row],[Code]])</f>
        <v>163WH0200X</v>
      </c>
      <c r="D724" s="1" t="s">
        <v>358</v>
      </c>
      <c r="E724" s="1"/>
      <c r="F724" s="1" t="s">
        <v>2587</v>
      </c>
      <c r="G724" s="3" t="s">
        <v>2588</v>
      </c>
      <c r="H724" s="1" t="s">
        <v>2758</v>
      </c>
      <c r="I724" s="1"/>
      <c r="J724" s="1" t="s">
        <v>2758</v>
      </c>
      <c r="K724" s="1" t="s">
        <v>2641</v>
      </c>
      <c r="L724" s="1" t="s">
        <v>2758</v>
      </c>
      <c r="M724" s="1" t="s">
        <v>2758</v>
      </c>
      <c r="N724" s="1" t="s">
        <v>2758</v>
      </c>
      <c r="O724" s="1" t="s">
        <v>2641</v>
      </c>
      <c r="P724" s="9"/>
      <c r="R724" s="16">
        <f ca="1">IF(ISNUMBER(SEARCH(INDIRECT(CELL("address")),S724)),MAX($R$1:R723)+1,0)</f>
        <v>723</v>
      </c>
      <c r="S724" s="18" t="str">
        <f>Table1[[#This Row],[Portico_Specialty]]&amp;"-"&amp;Table1[[#This Row],[Code]]</f>
        <v>Registered Nurse: Home Health-163WH0200X</v>
      </c>
      <c r="U724" s="16" t="str">
        <f ca="1">IFERROR(VLOOKUP(ROWS($U$1:U723),$R$2:$S$918,2,FALSE),"")</f>
        <v>Registered Nurse: Home Health-163WH0200X</v>
      </c>
    </row>
    <row r="725" spans="1:21" x14ac:dyDescent="0.3">
      <c r="A725" s="21" t="s">
        <v>361</v>
      </c>
      <c r="B725" s="21" t="str">
        <f>Table1[[#This Row],[Code]]&amp;" "&amp;Table1[[#This Row],[Portico_Specialty]]</f>
        <v>163WH1000X Registered Nurse: Hospice</v>
      </c>
      <c r="C725" s="21" t="str">
        <f>CLEAN(Table1[[#This Row],[Code]])</f>
        <v>163WH1000X</v>
      </c>
      <c r="D725" s="1" t="s">
        <v>362</v>
      </c>
      <c r="E725" s="1"/>
      <c r="F725" s="1" t="s">
        <v>2587</v>
      </c>
      <c r="G725" s="3" t="s">
        <v>2588</v>
      </c>
      <c r="H725" s="1" t="s">
        <v>2758</v>
      </c>
      <c r="I725" s="1"/>
      <c r="J725" s="1" t="s">
        <v>2758</v>
      </c>
      <c r="K725" s="1" t="s">
        <v>2641</v>
      </c>
      <c r="L725" s="1" t="s">
        <v>2758</v>
      </c>
      <c r="M725" s="1" t="s">
        <v>2758</v>
      </c>
      <c r="N725" s="1" t="s">
        <v>2758</v>
      </c>
      <c r="O725" s="1" t="s">
        <v>2641</v>
      </c>
      <c r="P725" s="9"/>
      <c r="R725" s="16">
        <f ca="1">IF(ISNUMBER(SEARCH(INDIRECT(CELL("address")),S725)),MAX($R$1:R724)+1,0)</f>
        <v>724</v>
      </c>
      <c r="S725" s="18" t="str">
        <f>Table1[[#This Row],[Portico_Specialty]]&amp;"-"&amp;Table1[[#This Row],[Code]]</f>
        <v>Registered Nurse: Hospice-163WH1000X</v>
      </c>
      <c r="U725" s="16" t="str">
        <f ca="1">IFERROR(VLOOKUP(ROWS($U$1:U724),$R$2:$S$918,2,FALSE),"")</f>
        <v>Registered Nurse: Hospice-163WH1000X</v>
      </c>
    </row>
    <row r="726" spans="1:21" x14ac:dyDescent="0.3">
      <c r="A726" s="21" t="s">
        <v>365</v>
      </c>
      <c r="B726" s="21" t="str">
        <f>Table1[[#This Row],[Code]]&amp;" "&amp;Table1[[#This Row],[Portico_Specialty]]</f>
        <v>163WI0600X Registered Nurse: Infection Control</v>
      </c>
      <c r="C726" s="21" t="str">
        <f>CLEAN(Table1[[#This Row],[Code]])</f>
        <v>163WI0600X</v>
      </c>
      <c r="D726" s="1" t="s">
        <v>366</v>
      </c>
      <c r="E726" s="1"/>
      <c r="F726" s="1" t="s">
        <v>2587</v>
      </c>
      <c r="G726" s="3" t="s">
        <v>2588</v>
      </c>
      <c r="H726" s="1" t="s">
        <v>2758</v>
      </c>
      <c r="I726" s="1"/>
      <c r="J726" s="1" t="s">
        <v>2758</v>
      </c>
      <c r="K726" s="1" t="s">
        <v>2641</v>
      </c>
      <c r="L726" s="1" t="s">
        <v>2758</v>
      </c>
      <c r="M726" s="1" t="s">
        <v>2758</v>
      </c>
      <c r="N726" s="1" t="s">
        <v>2758</v>
      </c>
      <c r="O726" s="1" t="s">
        <v>2641</v>
      </c>
      <c r="P726" s="9"/>
      <c r="R726" s="16">
        <f ca="1">IF(ISNUMBER(SEARCH(INDIRECT(CELL("address")),S726)),MAX($R$1:R725)+1,0)</f>
        <v>725</v>
      </c>
      <c r="S726" s="18" t="str">
        <f>Table1[[#This Row],[Portico_Specialty]]&amp;"-"&amp;Table1[[#This Row],[Code]]</f>
        <v>Registered Nurse: Infection Control-163WI0600X</v>
      </c>
      <c r="U726" s="16" t="str">
        <f ca="1">IFERROR(VLOOKUP(ROWS($U$1:U725),$R$2:$S$918,2,FALSE),"")</f>
        <v>Registered Nurse: Infection Control-163WI0600X</v>
      </c>
    </row>
    <row r="727" spans="1:21" x14ac:dyDescent="0.3">
      <c r="A727" s="21" t="s">
        <v>363</v>
      </c>
      <c r="B727" s="21" t="str">
        <f>Table1[[#This Row],[Code]]&amp;" "&amp;Table1[[#This Row],[Portico_Specialty]]</f>
        <v>163WI0500X Registered Nurse: Infusion Therapy</v>
      </c>
      <c r="C727" s="21" t="str">
        <f>CLEAN(Table1[[#This Row],[Code]])</f>
        <v>163WI0500X</v>
      </c>
      <c r="D727" s="1" t="s">
        <v>364</v>
      </c>
      <c r="E727" s="1"/>
      <c r="F727" s="1" t="s">
        <v>2587</v>
      </c>
      <c r="G727" s="3" t="s">
        <v>2588</v>
      </c>
      <c r="H727" s="1" t="s">
        <v>2758</v>
      </c>
      <c r="I727" s="1"/>
      <c r="J727" s="1" t="s">
        <v>2758</v>
      </c>
      <c r="K727" s="1" t="s">
        <v>2641</v>
      </c>
      <c r="L727" s="1" t="s">
        <v>2758</v>
      </c>
      <c r="M727" s="1" t="s">
        <v>2758</v>
      </c>
      <c r="N727" s="1" t="s">
        <v>2758</v>
      </c>
      <c r="O727" s="1" t="s">
        <v>2641</v>
      </c>
      <c r="P727" s="9"/>
      <c r="R727" s="16">
        <f ca="1">IF(ISNUMBER(SEARCH(INDIRECT(CELL("address")),S727)),MAX($R$1:R726)+1,0)</f>
        <v>726</v>
      </c>
      <c r="S727" s="18" t="str">
        <f>Table1[[#This Row],[Portico_Specialty]]&amp;"-"&amp;Table1[[#This Row],[Code]]</f>
        <v>Registered Nurse: Infusion Therapy-163WI0500X</v>
      </c>
      <c r="U727" s="16" t="str">
        <f ca="1">IFERROR(VLOOKUP(ROWS($U$1:U726),$R$2:$S$918,2,FALSE),"")</f>
        <v>Registered Nurse: Infusion Therapy-163WI0500X</v>
      </c>
    </row>
    <row r="728" spans="1:21" x14ac:dyDescent="0.3">
      <c r="A728" s="21" t="s">
        <v>367</v>
      </c>
      <c r="B728" s="21" t="str">
        <f>Table1[[#This Row],[Code]]&amp;" "&amp;Table1[[#This Row],[Portico_Specialty]]</f>
        <v>163WL0100X Registered Nurse: Lactation Consultant</v>
      </c>
      <c r="C728" s="21" t="str">
        <f>CLEAN(Table1[[#This Row],[Code]])</f>
        <v>163WL0100X</v>
      </c>
      <c r="D728" s="1" t="s">
        <v>368</v>
      </c>
      <c r="E728" s="1"/>
      <c r="F728" s="1" t="s">
        <v>2587</v>
      </c>
      <c r="G728" s="3" t="s">
        <v>2588</v>
      </c>
      <c r="H728" s="1" t="s">
        <v>2758</v>
      </c>
      <c r="I728" s="1"/>
      <c r="J728" s="1" t="s">
        <v>2758</v>
      </c>
      <c r="K728" s="1" t="s">
        <v>2641</v>
      </c>
      <c r="L728" s="1" t="s">
        <v>2758</v>
      </c>
      <c r="M728" s="1" t="s">
        <v>2758</v>
      </c>
      <c r="N728" s="1" t="s">
        <v>2758</v>
      </c>
      <c r="O728" s="1" t="s">
        <v>2641</v>
      </c>
      <c r="P728" s="9"/>
      <c r="R728" s="16">
        <f ca="1">IF(ISNUMBER(SEARCH(INDIRECT(CELL("address")),S728)),MAX($R$1:R727)+1,0)</f>
        <v>727</v>
      </c>
      <c r="S728" s="18" t="str">
        <f>Table1[[#This Row],[Portico_Specialty]]&amp;"-"&amp;Table1[[#This Row],[Code]]</f>
        <v>Registered Nurse: Lactation Consultant-163WL0100X</v>
      </c>
      <c r="U728" s="16" t="str">
        <f ca="1">IFERROR(VLOOKUP(ROWS($U$1:U727),$R$2:$S$918,2,FALSE),"")</f>
        <v>Registered Nurse: Lactation Consultant-163WL0100X</v>
      </c>
    </row>
    <row r="729" spans="1:21" x14ac:dyDescent="0.3">
      <c r="A729" s="21" t="s">
        <v>369</v>
      </c>
      <c r="B729" s="21" t="str">
        <f>Table1[[#This Row],[Code]]&amp;" "&amp;Table1[[#This Row],[Portico_Specialty]]</f>
        <v>163WM0102X Registered Nurse: Maternal Newborn</v>
      </c>
      <c r="C729" s="21" t="str">
        <f>CLEAN(Table1[[#This Row],[Code]])</f>
        <v>163WM0102X</v>
      </c>
      <c r="D729" s="1" t="s">
        <v>370</v>
      </c>
      <c r="E729" s="1"/>
      <c r="F729" s="1" t="s">
        <v>2587</v>
      </c>
      <c r="G729" s="3" t="s">
        <v>2588</v>
      </c>
      <c r="H729" s="1" t="s">
        <v>2758</v>
      </c>
      <c r="I729" s="1"/>
      <c r="J729" s="1" t="s">
        <v>2758</v>
      </c>
      <c r="K729" s="1" t="s">
        <v>2641</v>
      </c>
      <c r="L729" s="1" t="s">
        <v>2758</v>
      </c>
      <c r="M729" s="1" t="s">
        <v>2758</v>
      </c>
      <c r="N729" s="1" t="s">
        <v>2758</v>
      </c>
      <c r="O729" s="1" t="s">
        <v>2641</v>
      </c>
      <c r="P729" s="9"/>
      <c r="R729" s="16">
        <f ca="1">IF(ISNUMBER(SEARCH(INDIRECT(CELL("address")),S729)),MAX($R$1:R728)+1,0)</f>
        <v>728</v>
      </c>
      <c r="S729" s="18" t="str">
        <f>Table1[[#This Row],[Portico_Specialty]]&amp;"-"&amp;Table1[[#This Row],[Code]]</f>
        <v>Registered Nurse: Maternal Newborn-163WM0102X</v>
      </c>
      <c r="U729" s="16" t="str">
        <f ca="1">IFERROR(VLOOKUP(ROWS($U$1:U728),$R$2:$S$918,2,FALSE),"")</f>
        <v>Registered Nurse: Maternal Newborn-163WM0102X</v>
      </c>
    </row>
    <row r="730" spans="1:21" x14ac:dyDescent="0.3">
      <c r="A730" s="21" t="s">
        <v>371</v>
      </c>
      <c r="B730" s="21" t="str">
        <f>Table1[[#This Row],[Code]]&amp;" "&amp;Table1[[#This Row],[Portico_Specialty]]</f>
        <v>163WM0705X Registered Nurse: Medical-Surgical</v>
      </c>
      <c r="C730" s="21" t="str">
        <f>CLEAN(Table1[[#This Row],[Code]])</f>
        <v>163WM0705X</v>
      </c>
      <c r="D730" s="1" t="s">
        <v>372</v>
      </c>
      <c r="E730" s="1"/>
      <c r="F730" s="1" t="s">
        <v>2587</v>
      </c>
      <c r="G730" s="3" t="s">
        <v>2588</v>
      </c>
      <c r="H730" s="1" t="s">
        <v>2758</v>
      </c>
      <c r="I730" s="1"/>
      <c r="J730" s="1" t="s">
        <v>2758</v>
      </c>
      <c r="K730" s="1" t="s">
        <v>2641</v>
      </c>
      <c r="L730" s="1" t="s">
        <v>2758</v>
      </c>
      <c r="M730" s="1" t="s">
        <v>2758</v>
      </c>
      <c r="N730" s="1" t="s">
        <v>2758</v>
      </c>
      <c r="O730" s="1" t="s">
        <v>2641</v>
      </c>
      <c r="P730" s="9"/>
      <c r="R730" s="16">
        <f ca="1">IF(ISNUMBER(SEARCH(INDIRECT(CELL("address")),S730)),MAX($R$1:R729)+1,0)</f>
        <v>729</v>
      </c>
      <c r="S730" s="18" t="str">
        <f>Table1[[#This Row],[Portico_Specialty]]&amp;"-"&amp;Table1[[#This Row],[Code]]</f>
        <v>Registered Nurse: Medical-Surgical-163WM0705X</v>
      </c>
      <c r="U730" s="16" t="str">
        <f ca="1">IFERROR(VLOOKUP(ROWS($U$1:U729),$R$2:$S$918,2,FALSE),"")</f>
        <v>Registered Nurse: Medical-Surgical-163WM0705X</v>
      </c>
    </row>
    <row r="731" spans="1:21" x14ac:dyDescent="0.3">
      <c r="A731" s="21" t="s">
        <v>375</v>
      </c>
      <c r="B731" s="21" t="str">
        <f>Table1[[#This Row],[Code]]&amp;" "&amp;Table1[[#This Row],[Portico_Specialty]]</f>
        <v>163WN0002X Registered Nurse: Neonatal Intensive Care</v>
      </c>
      <c r="C731" s="21" t="str">
        <f>CLEAN(Table1[[#This Row],[Code]])</f>
        <v>163WN0002X</v>
      </c>
      <c r="D731" s="1" t="s">
        <v>376</v>
      </c>
      <c r="E731" s="1"/>
      <c r="F731" s="1" t="s">
        <v>2587</v>
      </c>
      <c r="G731" s="3" t="s">
        <v>2588</v>
      </c>
      <c r="H731" s="1" t="s">
        <v>2758</v>
      </c>
      <c r="I731" s="1"/>
      <c r="J731" s="1" t="s">
        <v>2758</v>
      </c>
      <c r="K731" s="1" t="s">
        <v>2641</v>
      </c>
      <c r="L731" s="1" t="s">
        <v>2758</v>
      </c>
      <c r="M731" s="1" t="s">
        <v>2758</v>
      </c>
      <c r="N731" s="1" t="s">
        <v>2758</v>
      </c>
      <c r="O731" s="1" t="s">
        <v>2641</v>
      </c>
      <c r="P731" s="9"/>
      <c r="R731" s="16">
        <f ca="1">IF(ISNUMBER(SEARCH(INDIRECT(CELL("address")),S731)),MAX($R$1:R730)+1,0)</f>
        <v>730</v>
      </c>
      <c r="S731" s="18" t="str">
        <f>Table1[[#This Row],[Portico_Specialty]]&amp;"-"&amp;Table1[[#This Row],[Code]]</f>
        <v>Registered Nurse: Neonatal Intensive Care-163WN0002X</v>
      </c>
      <c r="U731" s="16" t="str">
        <f ca="1">IFERROR(VLOOKUP(ROWS($U$1:U730),$R$2:$S$918,2,FALSE),"")</f>
        <v>Registered Nurse: Neonatal Intensive Care-163WN0002X</v>
      </c>
    </row>
    <row r="732" spans="1:21" x14ac:dyDescent="0.3">
      <c r="A732" s="21" t="s">
        <v>377</v>
      </c>
      <c r="B732" s="21" t="str">
        <f>Table1[[#This Row],[Code]]&amp;" "&amp;Table1[[#This Row],[Portico_Specialty]]</f>
        <v>163WN0003X Registered Nurse: Neonatal, Low-Risk</v>
      </c>
      <c r="C732" s="21" t="str">
        <f>CLEAN(Table1[[#This Row],[Code]])</f>
        <v>163WN0003X</v>
      </c>
      <c r="D732" s="1" t="s">
        <v>378</v>
      </c>
      <c r="E732" s="1"/>
      <c r="F732" s="1" t="s">
        <v>2587</v>
      </c>
      <c r="G732" s="3" t="s">
        <v>2588</v>
      </c>
      <c r="H732" s="1" t="s">
        <v>2758</v>
      </c>
      <c r="I732" s="1"/>
      <c r="J732" s="1" t="s">
        <v>2758</v>
      </c>
      <c r="K732" s="1" t="s">
        <v>2641</v>
      </c>
      <c r="L732" s="1" t="s">
        <v>2758</v>
      </c>
      <c r="M732" s="1" t="s">
        <v>2758</v>
      </c>
      <c r="N732" s="1" t="s">
        <v>2758</v>
      </c>
      <c r="O732" s="1" t="s">
        <v>2641</v>
      </c>
      <c r="P732" s="9"/>
      <c r="R732" s="16">
        <f ca="1">IF(ISNUMBER(SEARCH(INDIRECT(CELL("address")),S732)),MAX($R$1:R731)+1,0)</f>
        <v>731</v>
      </c>
      <c r="S732" s="18" t="str">
        <f>Table1[[#This Row],[Portico_Specialty]]&amp;"-"&amp;Table1[[#This Row],[Code]]</f>
        <v>Registered Nurse: Neonatal, Low-Risk-163WN0003X</v>
      </c>
      <c r="U732" s="16" t="str">
        <f ca="1">IFERROR(VLOOKUP(ROWS($U$1:U731),$R$2:$S$918,2,FALSE),"")</f>
        <v>Registered Nurse: Neonatal, Low-Risk-163WN0003X</v>
      </c>
    </row>
    <row r="733" spans="1:21" x14ac:dyDescent="0.3">
      <c r="A733" s="21" t="s">
        <v>379</v>
      </c>
      <c r="B733" s="21" t="str">
        <f>Table1[[#This Row],[Code]]&amp;" "&amp;Table1[[#This Row],[Portico_Specialty]]</f>
        <v>163WN0300X Registered Nurse: Nephrology</v>
      </c>
      <c r="C733" s="21" t="str">
        <f>CLEAN(Table1[[#This Row],[Code]])</f>
        <v>163WN0300X</v>
      </c>
      <c r="D733" s="1" t="s">
        <v>380</v>
      </c>
      <c r="E733" s="1"/>
      <c r="F733" s="1" t="s">
        <v>2587</v>
      </c>
      <c r="G733" s="3" t="s">
        <v>2588</v>
      </c>
      <c r="H733" s="1" t="s">
        <v>2758</v>
      </c>
      <c r="I733" s="1"/>
      <c r="J733" s="1" t="s">
        <v>2758</v>
      </c>
      <c r="K733" s="1" t="s">
        <v>2641</v>
      </c>
      <c r="L733" s="1" t="s">
        <v>2758</v>
      </c>
      <c r="M733" s="1" t="s">
        <v>2758</v>
      </c>
      <c r="N733" s="1" t="s">
        <v>2758</v>
      </c>
      <c r="O733" s="1" t="s">
        <v>2641</v>
      </c>
      <c r="P733" s="9"/>
      <c r="R733" s="16">
        <f ca="1">IF(ISNUMBER(SEARCH(INDIRECT(CELL("address")),S733)),MAX($R$1:R732)+1,0)</f>
        <v>732</v>
      </c>
      <c r="S733" s="18" t="str">
        <f>Table1[[#This Row],[Portico_Specialty]]&amp;"-"&amp;Table1[[#This Row],[Code]]</f>
        <v>Registered Nurse: Nephrology-163WN0300X</v>
      </c>
      <c r="U733" s="16" t="str">
        <f ca="1">IFERROR(VLOOKUP(ROWS($U$1:U732),$R$2:$S$918,2,FALSE),"")</f>
        <v>Registered Nurse: Nephrology-163WN0300X</v>
      </c>
    </row>
    <row r="734" spans="1:21" x14ac:dyDescent="0.3">
      <c r="A734" s="21" t="s">
        <v>381</v>
      </c>
      <c r="B734" s="21" t="str">
        <f>Table1[[#This Row],[Code]]&amp;" "&amp;Table1[[#This Row],[Portico_Specialty]]</f>
        <v>163WN0800X Registered Nurse: Neuroscience</v>
      </c>
      <c r="C734" s="21" t="str">
        <f>CLEAN(Table1[[#This Row],[Code]])</f>
        <v>163WN0800X</v>
      </c>
      <c r="D734" s="1" t="s">
        <v>382</v>
      </c>
      <c r="E734" s="1"/>
      <c r="F734" s="1" t="s">
        <v>2587</v>
      </c>
      <c r="G734" s="3" t="s">
        <v>2588</v>
      </c>
      <c r="H734" s="1" t="s">
        <v>2758</v>
      </c>
      <c r="I734" s="1"/>
      <c r="J734" s="1" t="s">
        <v>2758</v>
      </c>
      <c r="K734" s="1" t="s">
        <v>2641</v>
      </c>
      <c r="L734" s="1" t="s">
        <v>2758</v>
      </c>
      <c r="M734" s="1" t="s">
        <v>2758</v>
      </c>
      <c r="N734" s="1" t="s">
        <v>2758</v>
      </c>
      <c r="O734" s="1" t="s">
        <v>2641</v>
      </c>
      <c r="P734" s="9"/>
      <c r="R734" s="16">
        <f ca="1">IF(ISNUMBER(SEARCH(INDIRECT(CELL("address")),S734)),MAX($R$1:R733)+1,0)</f>
        <v>733</v>
      </c>
      <c r="S734" s="18" t="str">
        <f>Table1[[#This Row],[Portico_Specialty]]&amp;"-"&amp;Table1[[#This Row],[Code]]</f>
        <v>Registered Nurse: Neuroscience-163WN0800X</v>
      </c>
      <c r="U734" s="16" t="str">
        <f ca="1">IFERROR(VLOOKUP(ROWS($U$1:U733),$R$2:$S$918,2,FALSE),"")</f>
        <v>Registered Nurse: Neuroscience-163WN0800X</v>
      </c>
    </row>
    <row r="735" spans="1:21" ht="30.75" x14ac:dyDescent="0.3">
      <c r="A735" s="21" t="s">
        <v>373</v>
      </c>
      <c r="B735" s="21" t="str">
        <f>Table1[[#This Row],[Code]]&amp;" "&amp;Table1[[#This Row],[Portico_Specialty]]</f>
        <v>163WM1400X Registered Nurse: Nurse Massage Therapist (NMT)</v>
      </c>
      <c r="C735" s="21" t="str">
        <f>CLEAN(Table1[[#This Row],[Code]])</f>
        <v>163WM1400X</v>
      </c>
      <c r="D735" s="1" t="s">
        <v>374</v>
      </c>
      <c r="E735" s="1"/>
      <c r="F735" s="1" t="s">
        <v>2587</v>
      </c>
      <c r="G735" s="3" t="s">
        <v>2588</v>
      </c>
      <c r="H735" s="1" t="s">
        <v>2758</v>
      </c>
      <c r="I735" s="1"/>
      <c r="J735" s="1" t="s">
        <v>2758</v>
      </c>
      <c r="K735" s="1" t="s">
        <v>2641</v>
      </c>
      <c r="L735" s="1" t="s">
        <v>2758</v>
      </c>
      <c r="M735" s="1" t="s">
        <v>2758</v>
      </c>
      <c r="N735" s="1" t="s">
        <v>2758</v>
      </c>
      <c r="O735" s="1" t="s">
        <v>2641</v>
      </c>
      <c r="P735" s="9"/>
      <c r="R735" s="16">
        <f ca="1">IF(ISNUMBER(SEARCH(INDIRECT(CELL("address")),S735)),MAX($R$1:R734)+1,0)</f>
        <v>734</v>
      </c>
      <c r="S735" s="18" t="str">
        <f>Table1[[#This Row],[Portico_Specialty]]&amp;"-"&amp;Table1[[#This Row],[Code]]</f>
        <v>Registered Nurse: Nurse Massage Therapist (NMT)-163WM1400X</v>
      </c>
      <c r="U735" s="16" t="str">
        <f ca="1">IFERROR(VLOOKUP(ROWS($U$1:U734),$R$2:$S$918,2,FALSE),"")</f>
        <v>Registered Nurse: Nurse Massage Therapist (NMT)-163WM1400X</v>
      </c>
    </row>
    <row r="736" spans="1:21" x14ac:dyDescent="0.3">
      <c r="A736" s="21" t="s">
        <v>383</v>
      </c>
      <c r="B736" s="21" t="str">
        <f>Table1[[#This Row],[Code]]&amp;" "&amp;Table1[[#This Row],[Portico_Specialty]]</f>
        <v>163WN1003X Registered Nurse: Nutrition Support</v>
      </c>
      <c r="C736" s="21" t="str">
        <f>CLEAN(Table1[[#This Row],[Code]])</f>
        <v>163WN1003X</v>
      </c>
      <c r="D736" s="1" t="s">
        <v>384</v>
      </c>
      <c r="E736" s="1"/>
      <c r="F736" s="1" t="s">
        <v>2587</v>
      </c>
      <c r="G736" s="3" t="s">
        <v>2588</v>
      </c>
      <c r="H736" s="1" t="s">
        <v>2758</v>
      </c>
      <c r="I736" s="1"/>
      <c r="J736" s="1" t="s">
        <v>2758</v>
      </c>
      <c r="K736" s="1" t="s">
        <v>2641</v>
      </c>
      <c r="L736" s="1" t="s">
        <v>2758</v>
      </c>
      <c r="M736" s="1" t="s">
        <v>2758</v>
      </c>
      <c r="N736" s="1" t="s">
        <v>2758</v>
      </c>
      <c r="O736" s="1" t="s">
        <v>2641</v>
      </c>
      <c r="P736" s="9"/>
      <c r="R736" s="16">
        <f ca="1">IF(ISNUMBER(SEARCH(INDIRECT(CELL("address")),S736)),MAX($R$1:R735)+1,0)</f>
        <v>735</v>
      </c>
      <c r="S736" s="18" t="str">
        <f>Table1[[#This Row],[Portico_Specialty]]&amp;"-"&amp;Table1[[#This Row],[Code]]</f>
        <v>Registered Nurse: Nutrition Support-163WN1003X</v>
      </c>
      <c r="U736" s="16" t="str">
        <f ca="1">IFERROR(VLOOKUP(ROWS($U$1:U735),$R$2:$S$918,2,FALSE),"")</f>
        <v>Registered Nurse: Nutrition Support-163WN1003X</v>
      </c>
    </row>
    <row r="737" spans="1:21" x14ac:dyDescent="0.3">
      <c r="A737" s="21" t="s">
        <v>417</v>
      </c>
      <c r="B737" s="21" t="str">
        <f>Table1[[#This Row],[Code]]&amp;" "&amp;Table1[[#This Row],[Portico_Specialty]]</f>
        <v>163WX0002X Registered Nurse: Obstetric, High-Risk</v>
      </c>
      <c r="C737" s="21" t="str">
        <f>CLEAN(Table1[[#This Row],[Code]])</f>
        <v>163WX0002X</v>
      </c>
      <c r="D737" s="1" t="s">
        <v>418</v>
      </c>
      <c r="E737" s="1"/>
      <c r="F737" s="1" t="s">
        <v>2587</v>
      </c>
      <c r="G737" s="3" t="s">
        <v>2588</v>
      </c>
      <c r="H737" s="1" t="s">
        <v>2758</v>
      </c>
      <c r="I737" s="1"/>
      <c r="J737" s="1" t="s">
        <v>2758</v>
      </c>
      <c r="K737" s="1" t="s">
        <v>2641</v>
      </c>
      <c r="L737" s="1" t="s">
        <v>2758</v>
      </c>
      <c r="M737" s="1" t="s">
        <v>2758</v>
      </c>
      <c r="N737" s="1" t="s">
        <v>2758</v>
      </c>
      <c r="O737" s="1" t="s">
        <v>2641</v>
      </c>
      <c r="P737" s="9"/>
      <c r="R737" s="16">
        <f ca="1">IF(ISNUMBER(SEARCH(INDIRECT(CELL("address")),S737)),MAX($R$1:R736)+1,0)</f>
        <v>736</v>
      </c>
      <c r="S737" s="18" t="str">
        <f>Table1[[#This Row],[Portico_Specialty]]&amp;"-"&amp;Table1[[#This Row],[Code]]</f>
        <v>Registered Nurse: Obstetric, High-Risk-163WX0002X</v>
      </c>
      <c r="U737" s="16" t="str">
        <f ca="1">IFERROR(VLOOKUP(ROWS($U$1:U736),$R$2:$S$918,2,FALSE),"")</f>
        <v>Registered Nurse: Obstetric, High-Risk-163WX0002X</v>
      </c>
    </row>
    <row r="738" spans="1:21" x14ac:dyDescent="0.3">
      <c r="A738" s="21" t="s">
        <v>419</v>
      </c>
      <c r="B738" s="21" t="str">
        <f>Table1[[#This Row],[Code]]&amp;" "&amp;Table1[[#This Row],[Portico_Specialty]]</f>
        <v>163WX0003X Registered Nurse: Obstetric, Inpatient</v>
      </c>
      <c r="C738" s="21" t="str">
        <f>CLEAN(Table1[[#This Row],[Code]])</f>
        <v>163WX0003X</v>
      </c>
      <c r="D738" s="1" t="s">
        <v>420</v>
      </c>
      <c r="E738" s="1"/>
      <c r="F738" s="1" t="s">
        <v>2587</v>
      </c>
      <c r="G738" s="3" t="s">
        <v>2588</v>
      </c>
      <c r="H738" s="1" t="s">
        <v>2758</v>
      </c>
      <c r="I738" s="1"/>
      <c r="J738" s="1" t="s">
        <v>2758</v>
      </c>
      <c r="K738" s="1" t="s">
        <v>2641</v>
      </c>
      <c r="L738" s="1" t="s">
        <v>2758</v>
      </c>
      <c r="M738" s="1" t="s">
        <v>2758</v>
      </c>
      <c r="N738" s="1" t="s">
        <v>2758</v>
      </c>
      <c r="O738" s="1" t="s">
        <v>2641</v>
      </c>
      <c r="P738" s="9"/>
      <c r="R738" s="16">
        <f ca="1">IF(ISNUMBER(SEARCH(INDIRECT(CELL("address")),S738)),MAX($R$1:R737)+1,0)</f>
        <v>737</v>
      </c>
      <c r="S738" s="18" t="str">
        <f>Table1[[#This Row],[Portico_Specialty]]&amp;"-"&amp;Table1[[#This Row],[Code]]</f>
        <v>Registered Nurse: Obstetric, Inpatient-163WX0003X</v>
      </c>
      <c r="U738" s="16" t="str">
        <f ca="1">IFERROR(VLOOKUP(ROWS($U$1:U737),$R$2:$S$918,2,FALSE),"")</f>
        <v>Registered Nurse: Obstetric, Inpatient-163WX0003X</v>
      </c>
    </row>
    <row r="739" spans="1:21" x14ac:dyDescent="0.3">
      <c r="A739" s="21" t="s">
        <v>421</v>
      </c>
      <c r="B739" s="21" t="str">
        <f>Table1[[#This Row],[Code]]&amp;" "&amp;Table1[[#This Row],[Portico_Specialty]]</f>
        <v>163WX0106X Registered Nurse: Occupational Health</v>
      </c>
      <c r="C739" s="21" t="str">
        <f>CLEAN(Table1[[#This Row],[Code]])</f>
        <v>163WX0106X</v>
      </c>
      <c r="D739" s="1" t="s">
        <v>422</v>
      </c>
      <c r="E739" s="1"/>
      <c r="F739" s="1" t="s">
        <v>2587</v>
      </c>
      <c r="G739" s="3" t="s">
        <v>2588</v>
      </c>
      <c r="H739" s="1" t="s">
        <v>2758</v>
      </c>
      <c r="I739" s="1"/>
      <c r="J739" s="1" t="s">
        <v>2758</v>
      </c>
      <c r="K739" s="1" t="s">
        <v>2641</v>
      </c>
      <c r="L739" s="1" t="s">
        <v>2758</v>
      </c>
      <c r="M739" s="1" t="s">
        <v>2758</v>
      </c>
      <c r="N739" s="1" t="s">
        <v>2758</v>
      </c>
      <c r="O739" s="1" t="s">
        <v>2641</v>
      </c>
      <c r="P739" s="9"/>
      <c r="R739" s="16">
        <f ca="1">IF(ISNUMBER(SEARCH(INDIRECT(CELL("address")),S739)),MAX($R$1:R738)+1,0)</f>
        <v>738</v>
      </c>
      <c r="S739" s="18" t="str">
        <f>Table1[[#This Row],[Portico_Specialty]]&amp;"-"&amp;Table1[[#This Row],[Code]]</f>
        <v>Registered Nurse: Occupational Health-163WX0106X</v>
      </c>
      <c r="U739" s="16" t="str">
        <f ca="1">IFERROR(VLOOKUP(ROWS($U$1:U738),$R$2:$S$918,2,FALSE),"")</f>
        <v>Registered Nurse: Occupational Health-163WX0106X</v>
      </c>
    </row>
    <row r="740" spans="1:21" x14ac:dyDescent="0.3">
      <c r="A740" s="21" t="s">
        <v>423</v>
      </c>
      <c r="B740" s="21" t="str">
        <f>Table1[[#This Row],[Code]]&amp;" "&amp;Table1[[#This Row],[Portico_Specialty]]</f>
        <v>163WX0200X Registered Nurse: Oncology</v>
      </c>
      <c r="C740" s="21" t="str">
        <f>CLEAN(Table1[[#This Row],[Code]])</f>
        <v>163WX0200X</v>
      </c>
      <c r="D740" s="1" t="s">
        <v>424</v>
      </c>
      <c r="E740" s="1"/>
      <c r="F740" s="1" t="s">
        <v>2587</v>
      </c>
      <c r="G740" s="3" t="s">
        <v>2588</v>
      </c>
      <c r="H740" s="1" t="s">
        <v>2758</v>
      </c>
      <c r="I740" s="1"/>
      <c r="J740" s="1" t="s">
        <v>2758</v>
      </c>
      <c r="K740" s="1" t="s">
        <v>2641</v>
      </c>
      <c r="L740" s="1" t="s">
        <v>2758</v>
      </c>
      <c r="M740" s="1" t="s">
        <v>2758</v>
      </c>
      <c r="N740" s="1" t="s">
        <v>2758</v>
      </c>
      <c r="O740" s="1" t="s">
        <v>2641</v>
      </c>
      <c r="P740" s="9"/>
      <c r="R740" s="16">
        <f ca="1">IF(ISNUMBER(SEARCH(INDIRECT(CELL("address")),S740)),MAX($R$1:R739)+1,0)</f>
        <v>739</v>
      </c>
      <c r="S740" s="18" t="str">
        <f>Table1[[#This Row],[Portico_Specialty]]&amp;"-"&amp;Table1[[#This Row],[Code]]</f>
        <v>Registered Nurse: Oncology-163WX0200X</v>
      </c>
      <c r="U740" s="16" t="str">
        <f ca="1">IFERROR(VLOOKUP(ROWS($U$1:U739),$R$2:$S$918,2,FALSE),"")</f>
        <v>Registered Nurse: Oncology-163WX0200X</v>
      </c>
    </row>
    <row r="741" spans="1:21" x14ac:dyDescent="0.3">
      <c r="A741" s="21" t="s">
        <v>429</v>
      </c>
      <c r="B741" s="21" t="str">
        <f>Table1[[#This Row],[Code]]&amp;" "&amp;Table1[[#This Row],[Portico_Specialty]]</f>
        <v>163WX1100X Registered Nurse: Ophthalmic</v>
      </c>
      <c r="C741" s="21" t="str">
        <f>CLEAN(Table1[[#This Row],[Code]])</f>
        <v>163WX1100X</v>
      </c>
      <c r="D741" s="1" t="s">
        <v>430</v>
      </c>
      <c r="E741" s="1"/>
      <c r="F741" s="1" t="s">
        <v>2587</v>
      </c>
      <c r="G741" s="3" t="s">
        <v>2588</v>
      </c>
      <c r="H741" s="1" t="s">
        <v>2758</v>
      </c>
      <c r="I741" s="1"/>
      <c r="J741" s="1" t="s">
        <v>2758</v>
      </c>
      <c r="K741" s="1" t="s">
        <v>2641</v>
      </c>
      <c r="L741" s="1" t="s">
        <v>2758</v>
      </c>
      <c r="M741" s="1" t="s">
        <v>2758</v>
      </c>
      <c r="N741" s="1" t="s">
        <v>2758</v>
      </c>
      <c r="O741" s="1" t="s">
        <v>2641</v>
      </c>
      <c r="P741" s="9"/>
      <c r="R741" s="16">
        <f ca="1">IF(ISNUMBER(SEARCH(INDIRECT(CELL("address")),S741)),MAX($R$1:R740)+1,0)</f>
        <v>740</v>
      </c>
      <c r="S741" s="18" t="str">
        <f>Table1[[#This Row],[Portico_Specialty]]&amp;"-"&amp;Table1[[#This Row],[Code]]</f>
        <v>Registered Nurse: Ophthalmic-163WX1100X</v>
      </c>
      <c r="U741" s="16" t="str">
        <f ca="1">IFERROR(VLOOKUP(ROWS($U$1:U740),$R$2:$S$918,2,FALSE),"")</f>
        <v>Registered Nurse: Ophthalmic-163WX1100X</v>
      </c>
    </row>
    <row r="742" spans="1:21" x14ac:dyDescent="0.3">
      <c r="A742" s="21" t="s">
        <v>427</v>
      </c>
      <c r="B742" s="21" t="str">
        <f>Table1[[#This Row],[Code]]&amp;" "&amp;Table1[[#This Row],[Portico_Specialty]]</f>
        <v>163WX0800X Registered Nurse: Orthopedic</v>
      </c>
      <c r="C742" s="21" t="str">
        <f>CLEAN(Table1[[#This Row],[Code]])</f>
        <v>163WX0800X</v>
      </c>
      <c r="D742" s="1" t="s">
        <v>428</v>
      </c>
      <c r="E742" s="1"/>
      <c r="F742" s="1" t="s">
        <v>2587</v>
      </c>
      <c r="G742" s="3" t="s">
        <v>2588</v>
      </c>
      <c r="H742" s="1" t="s">
        <v>2758</v>
      </c>
      <c r="I742" s="1"/>
      <c r="J742" s="1" t="s">
        <v>2758</v>
      </c>
      <c r="K742" s="1" t="s">
        <v>2641</v>
      </c>
      <c r="L742" s="1" t="s">
        <v>2758</v>
      </c>
      <c r="M742" s="1" t="s">
        <v>2758</v>
      </c>
      <c r="N742" s="1" t="s">
        <v>2758</v>
      </c>
      <c r="O742" s="1" t="s">
        <v>2641</v>
      </c>
      <c r="P742" s="9"/>
      <c r="R742" s="16">
        <f ca="1">IF(ISNUMBER(SEARCH(INDIRECT(CELL("address")),S742)),MAX($R$1:R741)+1,0)</f>
        <v>741</v>
      </c>
      <c r="S742" s="18" t="str">
        <f>Table1[[#This Row],[Portico_Specialty]]&amp;"-"&amp;Table1[[#This Row],[Code]]</f>
        <v>Registered Nurse: Orthopedic-163WX0800X</v>
      </c>
      <c r="U742" s="16" t="str">
        <f ca="1">IFERROR(VLOOKUP(ROWS($U$1:U741),$R$2:$S$918,2,FALSE),"")</f>
        <v>Registered Nurse: Orthopedic-163WX0800X</v>
      </c>
    </row>
    <row r="743" spans="1:21" x14ac:dyDescent="0.3">
      <c r="A743" s="21" t="s">
        <v>431</v>
      </c>
      <c r="B743" s="21" t="str">
        <f>Table1[[#This Row],[Code]]&amp;" "&amp;Table1[[#This Row],[Portico_Specialty]]</f>
        <v>163WX1500X Registered Nurse: Ostomy Care</v>
      </c>
      <c r="C743" s="21" t="str">
        <f>CLEAN(Table1[[#This Row],[Code]])</f>
        <v>163WX1500X</v>
      </c>
      <c r="D743" s="1" t="s">
        <v>432</v>
      </c>
      <c r="E743" s="1"/>
      <c r="F743" s="1" t="s">
        <v>2587</v>
      </c>
      <c r="G743" s="3" t="s">
        <v>2588</v>
      </c>
      <c r="H743" s="1" t="s">
        <v>2758</v>
      </c>
      <c r="I743" s="1"/>
      <c r="J743" s="1" t="s">
        <v>2758</v>
      </c>
      <c r="K743" s="1" t="s">
        <v>2641</v>
      </c>
      <c r="L743" s="1" t="s">
        <v>2758</v>
      </c>
      <c r="M743" s="1" t="s">
        <v>2758</v>
      </c>
      <c r="N743" s="1" t="s">
        <v>2758</v>
      </c>
      <c r="O743" s="1" t="s">
        <v>2641</v>
      </c>
      <c r="P743" s="9"/>
      <c r="R743" s="16">
        <f ca="1">IF(ISNUMBER(SEARCH(INDIRECT(CELL("address")),S743)),MAX($R$1:R742)+1,0)</f>
        <v>742</v>
      </c>
      <c r="S743" s="18" t="str">
        <f>Table1[[#This Row],[Portico_Specialty]]&amp;"-"&amp;Table1[[#This Row],[Code]]</f>
        <v>Registered Nurse: Ostomy Care-163WX1500X</v>
      </c>
      <c r="U743" s="16" t="str">
        <f ca="1">IFERROR(VLOOKUP(ROWS($U$1:U742),$R$2:$S$918,2,FALSE),"")</f>
        <v>Registered Nurse: Ostomy Care-163WX1500X</v>
      </c>
    </row>
    <row r="744" spans="1:21" ht="30.75" x14ac:dyDescent="0.3">
      <c r="A744" s="21" t="s">
        <v>425</v>
      </c>
      <c r="B744" s="21" t="str">
        <f>Table1[[#This Row],[Code]]&amp;" "&amp;Table1[[#This Row],[Portico_Specialty]]</f>
        <v>163WX0601X Registered Nurse: Otorhinolaryngology &amp; Head-Neck</v>
      </c>
      <c r="C744" s="21" t="str">
        <f>CLEAN(Table1[[#This Row],[Code]])</f>
        <v>163WX0601X</v>
      </c>
      <c r="D744" s="1" t="s">
        <v>426</v>
      </c>
      <c r="E744" s="1"/>
      <c r="F744" s="1" t="s">
        <v>2587</v>
      </c>
      <c r="G744" s="3" t="s">
        <v>2588</v>
      </c>
      <c r="H744" s="1" t="s">
        <v>2758</v>
      </c>
      <c r="I744" s="1"/>
      <c r="J744" s="1" t="s">
        <v>2758</v>
      </c>
      <c r="K744" s="1" t="s">
        <v>2641</v>
      </c>
      <c r="L744" s="1" t="s">
        <v>2758</v>
      </c>
      <c r="M744" s="1" t="s">
        <v>2758</v>
      </c>
      <c r="N744" s="1" t="s">
        <v>2758</v>
      </c>
      <c r="O744" s="1" t="s">
        <v>2641</v>
      </c>
      <c r="P744" s="9"/>
      <c r="R744" s="16">
        <f ca="1">IF(ISNUMBER(SEARCH(INDIRECT(CELL("address")),S744)),MAX($R$1:R743)+1,0)</f>
        <v>743</v>
      </c>
      <c r="S744" s="18" t="str">
        <f>Table1[[#This Row],[Portico_Specialty]]&amp;"-"&amp;Table1[[#This Row],[Code]]</f>
        <v>Registered Nurse: Otorhinolaryngology &amp; Head-Neck-163WX0601X</v>
      </c>
      <c r="U744" s="16" t="str">
        <f ca="1">IFERROR(VLOOKUP(ROWS($U$1:U743),$R$2:$S$918,2,FALSE),"")</f>
        <v>Registered Nurse: Otorhinolaryngology &amp; Head-Neck-163WX0601X</v>
      </c>
    </row>
    <row r="745" spans="1:21" x14ac:dyDescent="0.3">
      <c r="A745" s="21" t="s">
        <v>385</v>
      </c>
      <c r="B745" s="21" t="str">
        <f>Table1[[#This Row],[Code]]&amp;" "&amp;Table1[[#This Row],[Portico_Specialty]]</f>
        <v>163WP0000X Registered Nurse: Pain Management</v>
      </c>
      <c r="C745" s="21" t="str">
        <f>CLEAN(Table1[[#This Row],[Code]])</f>
        <v>163WP0000X</v>
      </c>
      <c r="D745" s="1" t="s">
        <v>386</v>
      </c>
      <c r="E745" s="1"/>
      <c r="F745" s="1" t="s">
        <v>2587</v>
      </c>
      <c r="G745" s="3" t="s">
        <v>2588</v>
      </c>
      <c r="H745" s="1" t="s">
        <v>2758</v>
      </c>
      <c r="I745" s="1"/>
      <c r="J745" s="1" t="s">
        <v>2758</v>
      </c>
      <c r="K745" s="1" t="s">
        <v>2641</v>
      </c>
      <c r="L745" s="1" t="s">
        <v>2758</v>
      </c>
      <c r="M745" s="1" t="s">
        <v>2758</v>
      </c>
      <c r="N745" s="1" t="s">
        <v>2758</v>
      </c>
      <c r="O745" s="1" t="s">
        <v>2641</v>
      </c>
      <c r="P745" s="9"/>
      <c r="R745" s="16">
        <f ca="1">IF(ISNUMBER(SEARCH(INDIRECT(CELL("address")),S745)),MAX($R$1:R744)+1,0)</f>
        <v>744</v>
      </c>
      <c r="S745" s="18" t="str">
        <f>Table1[[#This Row],[Portico_Specialty]]&amp;"-"&amp;Table1[[#This Row],[Code]]</f>
        <v>Registered Nurse: Pain Management-163WP0000X</v>
      </c>
      <c r="U745" s="16" t="str">
        <f ca="1">IFERROR(VLOOKUP(ROWS($U$1:U744),$R$2:$S$918,2,FALSE),"")</f>
        <v>Registered Nurse: Pain Management-163WP0000X</v>
      </c>
    </row>
    <row r="746" spans="1:21" x14ac:dyDescent="0.3">
      <c r="A746" s="21" t="s">
        <v>389</v>
      </c>
      <c r="B746" s="21" t="str">
        <f>Table1[[#This Row],[Code]]&amp;" "&amp;Table1[[#This Row],[Portico_Specialty]]</f>
        <v>163WP0218X Registered Nurse: Pediatric Oncology</v>
      </c>
      <c r="C746" s="21" t="str">
        <f>CLEAN(Table1[[#This Row],[Code]])</f>
        <v>163WP0218X</v>
      </c>
      <c r="D746" s="1" t="s">
        <v>390</v>
      </c>
      <c r="E746" s="1"/>
      <c r="F746" s="1" t="s">
        <v>2587</v>
      </c>
      <c r="G746" s="3" t="s">
        <v>2588</v>
      </c>
      <c r="H746" s="1" t="s">
        <v>2758</v>
      </c>
      <c r="I746" s="1"/>
      <c r="J746" s="1" t="s">
        <v>2758</v>
      </c>
      <c r="K746" s="1" t="s">
        <v>2641</v>
      </c>
      <c r="L746" s="1" t="s">
        <v>2758</v>
      </c>
      <c r="M746" s="1" t="s">
        <v>2758</v>
      </c>
      <c r="N746" s="1" t="s">
        <v>2758</v>
      </c>
      <c r="O746" s="1" t="s">
        <v>2641</v>
      </c>
      <c r="P746" s="9"/>
      <c r="R746" s="16">
        <f ca="1">IF(ISNUMBER(SEARCH(INDIRECT(CELL("address")),S746)),MAX($R$1:R745)+1,0)</f>
        <v>745</v>
      </c>
      <c r="S746" s="18" t="str">
        <f>Table1[[#This Row],[Portico_Specialty]]&amp;"-"&amp;Table1[[#This Row],[Code]]</f>
        <v>Registered Nurse: Pediatric Oncology-163WP0218X</v>
      </c>
      <c r="U746" s="16" t="str">
        <f ca="1">IFERROR(VLOOKUP(ROWS($U$1:U745),$R$2:$S$918,2,FALSE),"")</f>
        <v>Registered Nurse: Pediatric Oncology-163WP0218X</v>
      </c>
    </row>
    <row r="747" spans="1:21" x14ac:dyDescent="0.3">
      <c r="A747" s="21" t="s">
        <v>387</v>
      </c>
      <c r="B747" s="21" t="str">
        <f>Table1[[#This Row],[Code]]&amp;" "&amp;Table1[[#This Row],[Portico_Specialty]]</f>
        <v>163WP0200X Registered Nurse: Pediatrics</v>
      </c>
      <c r="C747" s="21" t="str">
        <f>CLEAN(Table1[[#This Row],[Code]])</f>
        <v>163WP0200X</v>
      </c>
      <c r="D747" s="1" t="s">
        <v>388</v>
      </c>
      <c r="E747" s="1"/>
      <c r="F747" s="1" t="s">
        <v>2587</v>
      </c>
      <c r="G747" s="3" t="s">
        <v>2588</v>
      </c>
      <c r="H747" s="1" t="s">
        <v>2758</v>
      </c>
      <c r="I747" s="1"/>
      <c r="J747" s="1" t="s">
        <v>2758</v>
      </c>
      <c r="K747" s="1" t="s">
        <v>2641</v>
      </c>
      <c r="L747" s="1" t="s">
        <v>2758</v>
      </c>
      <c r="M747" s="1" t="s">
        <v>2758</v>
      </c>
      <c r="N747" s="1" t="s">
        <v>2758</v>
      </c>
      <c r="O747" s="1" t="s">
        <v>2641</v>
      </c>
      <c r="P747" s="9"/>
      <c r="R747" s="16">
        <f ca="1">IF(ISNUMBER(SEARCH(INDIRECT(CELL("address")),S747)),MAX($R$1:R746)+1,0)</f>
        <v>746</v>
      </c>
      <c r="S747" s="18" t="str">
        <f>Table1[[#This Row],[Portico_Specialty]]&amp;"-"&amp;Table1[[#This Row],[Code]]</f>
        <v>Registered Nurse: Pediatrics-163WP0200X</v>
      </c>
      <c r="U747" s="16" t="str">
        <f ca="1">IFERROR(VLOOKUP(ROWS($U$1:U746),$R$2:$S$918,2,FALSE),"")</f>
        <v>Registered Nurse: Pediatrics-163WP0200X</v>
      </c>
    </row>
    <row r="748" spans="1:21" x14ac:dyDescent="0.3">
      <c r="A748" s="21" t="s">
        <v>397</v>
      </c>
      <c r="B748" s="21" t="str">
        <f>Table1[[#This Row],[Code]]&amp;" "&amp;Table1[[#This Row],[Portico_Specialty]]</f>
        <v>163WP1700X Registered Nurse: Perinatal</v>
      </c>
      <c r="C748" s="21" t="str">
        <f>CLEAN(Table1[[#This Row],[Code]])</f>
        <v>163WP1700X</v>
      </c>
      <c r="D748" s="1" t="s">
        <v>398</v>
      </c>
      <c r="E748" s="1"/>
      <c r="F748" s="1" t="s">
        <v>2587</v>
      </c>
      <c r="G748" s="3" t="s">
        <v>2588</v>
      </c>
      <c r="H748" s="1" t="s">
        <v>2758</v>
      </c>
      <c r="I748" s="1"/>
      <c r="J748" s="1" t="s">
        <v>2758</v>
      </c>
      <c r="K748" s="1" t="s">
        <v>2641</v>
      </c>
      <c r="L748" s="1" t="s">
        <v>2758</v>
      </c>
      <c r="M748" s="1" t="s">
        <v>2758</v>
      </c>
      <c r="N748" s="1" t="s">
        <v>2758</v>
      </c>
      <c r="O748" s="1" t="s">
        <v>2641</v>
      </c>
      <c r="P748" s="9"/>
      <c r="R748" s="16">
        <f ca="1">IF(ISNUMBER(SEARCH(INDIRECT(CELL("address")),S748)),MAX($R$1:R747)+1,0)</f>
        <v>747</v>
      </c>
      <c r="S748" s="18" t="str">
        <f>Table1[[#This Row],[Portico_Specialty]]&amp;"-"&amp;Table1[[#This Row],[Code]]</f>
        <v>Registered Nurse: Perinatal-163WP1700X</v>
      </c>
      <c r="U748" s="16" t="str">
        <f ca="1">IFERROR(VLOOKUP(ROWS($U$1:U747),$R$2:$S$918,2,FALSE),"")</f>
        <v>Registered Nurse: Perinatal-163WP1700X</v>
      </c>
    </row>
    <row r="749" spans="1:21" x14ac:dyDescent="0.3">
      <c r="A749" s="21" t="s">
        <v>407</v>
      </c>
      <c r="B749" s="21" t="str">
        <f>Table1[[#This Row],[Code]]&amp;" "&amp;Table1[[#This Row],[Portico_Specialty]]</f>
        <v>163WS0121X Registered Nurse: Plastic Surgery</v>
      </c>
      <c r="C749" s="21" t="str">
        <f>CLEAN(Table1[[#This Row],[Code]])</f>
        <v>163WS0121X</v>
      </c>
      <c r="D749" s="1" t="s">
        <v>408</v>
      </c>
      <c r="E749" s="1"/>
      <c r="F749" s="1" t="s">
        <v>2587</v>
      </c>
      <c r="G749" s="3" t="s">
        <v>2588</v>
      </c>
      <c r="H749" s="1" t="s">
        <v>2758</v>
      </c>
      <c r="I749" s="1"/>
      <c r="J749" s="1" t="s">
        <v>2758</v>
      </c>
      <c r="K749" s="1" t="s">
        <v>2641</v>
      </c>
      <c r="L749" s="1" t="s">
        <v>2758</v>
      </c>
      <c r="M749" s="1" t="s">
        <v>2758</v>
      </c>
      <c r="N749" s="1" t="s">
        <v>2758</v>
      </c>
      <c r="O749" s="1" t="s">
        <v>2641</v>
      </c>
      <c r="P749" s="9"/>
      <c r="R749" s="16">
        <f ca="1">IF(ISNUMBER(SEARCH(INDIRECT(CELL("address")),S749)),MAX($R$1:R748)+1,0)</f>
        <v>748</v>
      </c>
      <c r="S749" s="18" t="str">
        <f>Table1[[#This Row],[Portico_Specialty]]&amp;"-"&amp;Table1[[#This Row],[Code]]</f>
        <v>Registered Nurse: Plastic Surgery-163WS0121X</v>
      </c>
      <c r="U749" s="16" t="str">
        <f ca="1">IFERROR(VLOOKUP(ROWS($U$1:U748),$R$2:$S$918,2,FALSE),"")</f>
        <v>Registered Nurse: Plastic Surgery-163WS0121X</v>
      </c>
    </row>
    <row r="750" spans="1:21" x14ac:dyDescent="0.3">
      <c r="A750" s="21" t="s">
        <v>393</v>
      </c>
      <c r="B750" s="21" t="str">
        <f>Table1[[#This Row],[Code]]&amp;" "&amp;Table1[[#This Row],[Portico_Specialty]]</f>
        <v>163WP0808X Registered Nurse: Psych/Mental Health</v>
      </c>
      <c r="C750" s="21" t="str">
        <f>CLEAN(Table1[[#This Row],[Code]])</f>
        <v>163WP0808X</v>
      </c>
      <c r="D750" s="1" t="s">
        <v>394</v>
      </c>
      <c r="E750" s="1"/>
      <c r="F750" s="1" t="s">
        <v>2607</v>
      </c>
      <c r="G750" s="3" t="s">
        <v>2588</v>
      </c>
      <c r="H750" s="1" t="s">
        <v>2758</v>
      </c>
      <c r="I750" s="1"/>
      <c r="J750" s="1" t="s">
        <v>2758</v>
      </c>
      <c r="K750" s="1" t="s">
        <v>2641</v>
      </c>
      <c r="L750" s="1" t="s">
        <v>2758</v>
      </c>
      <c r="M750" s="1" t="s">
        <v>2758</v>
      </c>
      <c r="N750" s="1" t="s">
        <v>2758</v>
      </c>
      <c r="O750" s="1" t="s">
        <v>2641</v>
      </c>
      <c r="P750" s="9"/>
      <c r="R750" s="16">
        <f ca="1">IF(ISNUMBER(SEARCH(INDIRECT(CELL("address")),S750)),MAX($R$1:R749)+1,0)</f>
        <v>749</v>
      </c>
      <c r="S750" s="18" t="str">
        <f>Table1[[#This Row],[Portico_Specialty]]&amp;"-"&amp;Table1[[#This Row],[Code]]</f>
        <v>Registered Nurse: Psych/Mental Health-163WP0808X</v>
      </c>
      <c r="U750" s="16" t="str">
        <f ca="1">IFERROR(VLOOKUP(ROWS($U$1:U749),$R$2:$S$918,2,FALSE),"")</f>
        <v>Registered Nurse: Psych/Mental Health-163WP0808X</v>
      </c>
    </row>
    <row r="751" spans="1:21" ht="30.75" x14ac:dyDescent="0.3">
      <c r="A751" s="21" t="s">
        <v>395</v>
      </c>
      <c r="B751" s="21" t="str">
        <f>Table1[[#This Row],[Code]]&amp;" "&amp;Table1[[#This Row],[Portico_Specialty]]</f>
        <v>163WP0809X Registered Nurse: Psych/Mental Health, Adult</v>
      </c>
      <c r="C751" s="21" t="str">
        <f>CLEAN(Table1[[#This Row],[Code]])</f>
        <v>163WP0809X</v>
      </c>
      <c r="D751" s="1" t="s">
        <v>396</v>
      </c>
      <c r="E751" s="1"/>
      <c r="F751" s="1" t="s">
        <v>2607</v>
      </c>
      <c r="G751" s="3" t="s">
        <v>2588</v>
      </c>
      <c r="H751" s="1" t="s">
        <v>2758</v>
      </c>
      <c r="I751" s="1"/>
      <c r="J751" s="1" t="s">
        <v>2758</v>
      </c>
      <c r="K751" s="1" t="s">
        <v>2641</v>
      </c>
      <c r="L751" s="1" t="s">
        <v>2758</v>
      </c>
      <c r="M751" s="1" t="s">
        <v>2758</v>
      </c>
      <c r="N751" s="1" t="s">
        <v>2758</v>
      </c>
      <c r="O751" s="1" t="s">
        <v>2641</v>
      </c>
      <c r="P751" s="9"/>
      <c r="R751" s="16">
        <f ca="1">IF(ISNUMBER(SEARCH(INDIRECT(CELL("address")),S751)),MAX($R$1:R750)+1,0)</f>
        <v>750</v>
      </c>
      <c r="S751" s="18" t="str">
        <f>Table1[[#This Row],[Portico_Specialty]]&amp;"-"&amp;Table1[[#This Row],[Code]]</f>
        <v>Registered Nurse: Psych/Mental Health, Adult-163WP0809X</v>
      </c>
      <c r="U751" s="16" t="str">
        <f ca="1">IFERROR(VLOOKUP(ROWS($U$1:U750),$R$2:$S$918,2,FALSE),"")</f>
        <v>Registered Nurse: Psych/Mental Health, Adult-163WP0809X</v>
      </c>
    </row>
    <row r="752" spans="1:21" ht="30.75" x14ac:dyDescent="0.3">
      <c r="A752" s="21" t="s">
        <v>391</v>
      </c>
      <c r="B752" s="21" t="str">
        <f>Table1[[#This Row],[Code]]&amp;" "&amp;Table1[[#This Row],[Portico_Specialty]]</f>
        <v>163WP0807X Registered Nurse: Psych/Mental Health, Child &amp; Adolescent</v>
      </c>
      <c r="C752" s="21" t="str">
        <f>CLEAN(Table1[[#This Row],[Code]])</f>
        <v>163WP0807X</v>
      </c>
      <c r="D752" s="1" t="s">
        <v>392</v>
      </c>
      <c r="E752" s="1"/>
      <c r="F752" s="1" t="s">
        <v>2607</v>
      </c>
      <c r="G752" s="3" t="s">
        <v>2588</v>
      </c>
      <c r="H752" s="1" t="s">
        <v>2758</v>
      </c>
      <c r="I752" s="1"/>
      <c r="J752" s="1" t="s">
        <v>2758</v>
      </c>
      <c r="K752" s="1" t="s">
        <v>2641</v>
      </c>
      <c r="L752" s="1" t="s">
        <v>2758</v>
      </c>
      <c r="M752" s="1" t="s">
        <v>2758</v>
      </c>
      <c r="N752" s="1" t="s">
        <v>2758</v>
      </c>
      <c r="O752" s="1" t="s">
        <v>2641</v>
      </c>
      <c r="P752" s="9"/>
      <c r="R752" s="16">
        <f ca="1">IF(ISNUMBER(SEARCH(INDIRECT(CELL("address")),S752)),MAX($R$1:R751)+1,0)</f>
        <v>751</v>
      </c>
      <c r="S752" s="18" t="str">
        <f>Table1[[#This Row],[Portico_Specialty]]&amp;"-"&amp;Table1[[#This Row],[Code]]</f>
        <v>Registered Nurse: Psych/Mental Health, Child &amp; Adolescent-163WP0807X</v>
      </c>
      <c r="U752" s="16" t="str">
        <f ca="1">IFERROR(VLOOKUP(ROWS($U$1:U751),$R$2:$S$918,2,FALSE),"")</f>
        <v>Registered Nurse: Psych/Mental Health, Child &amp; Adolescent-163WP0807X</v>
      </c>
    </row>
    <row r="753" spans="1:21" ht="30.75" x14ac:dyDescent="0.3">
      <c r="A753" s="21" t="s">
        <v>401</v>
      </c>
      <c r="B753" s="21" t="str">
        <f>Table1[[#This Row],[Code]]&amp;" "&amp;Table1[[#This Row],[Portico_Specialty]]</f>
        <v>163WR0006X Registered Nurse: Registered Nurse First Assistant</v>
      </c>
      <c r="C753" s="21" t="str">
        <f>CLEAN(Table1[[#This Row],[Code]])</f>
        <v>163WR0006X</v>
      </c>
      <c r="D753" s="1" t="s">
        <v>402</v>
      </c>
      <c r="E753" s="1"/>
      <c r="F753" s="1" t="s">
        <v>2587</v>
      </c>
      <c r="G753" s="3" t="s">
        <v>2588</v>
      </c>
      <c r="H753" s="1" t="s">
        <v>2758</v>
      </c>
      <c r="I753" s="1"/>
      <c r="J753" s="1" t="s">
        <v>2758</v>
      </c>
      <c r="K753" s="1" t="s">
        <v>2641</v>
      </c>
      <c r="L753" s="1" t="s">
        <v>2758</v>
      </c>
      <c r="M753" s="1" t="s">
        <v>2758</v>
      </c>
      <c r="N753" s="1" t="s">
        <v>2758</v>
      </c>
      <c r="O753" s="1" t="s">
        <v>2641</v>
      </c>
      <c r="P753" s="9"/>
      <c r="R753" s="16">
        <f ca="1">IF(ISNUMBER(SEARCH(INDIRECT(CELL("address")),S753)),MAX($R$1:R752)+1,0)</f>
        <v>752</v>
      </c>
      <c r="S753" s="18" t="str">
        <f>Table1[[#This Row],[Portico_Specialty]]&amp;"-"&amp;Table1[[#This Row],[Code]]</f>
        <v>Registered Nurse: Registered Nurse First Assistant-163WR0006X</v>
      </c>
      <c r="U753" s="16" t="str">
        <f ca="1">IFERROR(VLOOKUP(ROWS($U$1:U752),$R$2:$S$918,2,FALSE),"")</f>
        <v>Registered Nurse: Registered Nurse First Assistant-163WR0006X</v>
      </c>
    </row>
    <row r="754" spans="1:21" x14ac:dyDescent="0.3">
      <c r="A754" s="21" t="s">
        <v>403</v>
      </c>
      <c r="B754" s="21" t="str">
        <f>Table1[[#This Row],[Code]]&amp;" "&amp;Table1[[#This Row],[Portico_Specialty]]</f>
        <v>163WR0400X Registered Nurse: Rehabilitation</v>
      </c>
      <c r="C754" s="21" t="str">
        <f>CLEAN(Table1[[#This Row],[Code]])</f>
        <v>163WR0400X</v>
      </c>
      <c r="D754" s="1" t="s">
        <v>404</v>
      </c>
      <c r="E754" s="1"/>
      <c r="F754" s="1" t="s">
        <v>2587</v>
      </c>
      <c r="G754" s="3" t="s">
        <v>2588</v>
      </c>
      <c r="H754" s="1" t="s">
        <v>2758</v>
      </c>
      <c r="I754" s="1"/>
      <c r="J754" s="1" t="s">
        <v>2758</v>
      </c>
      <c r="K754" s="1" t="s">
        <v>2641</v>
      </c>
      <c r="L754" s="1" t="s">
        <v>2758</v>
      </c>
      <c r="M754" s="1" t="s">
        <v>2758</v>
      </c>
      <c r="N754" s="1" t="s">
        <v>2758</v>
      </c>
      <c r="O754" s="1" t="s">
        <v>2641</v>
      </c>
      <c r="P754" s="9"/>
      <c r="R754" s="16">
        <f ca="1">IF(ISNUMBER(SEARCH(INDIRECT(CELL("address")),S754)),MAX($R$1:R753)+1,0)</f>
        <v>753</v>
      </c>
      <c r="S754" s="18" t="str">
        <f>Table1[[#This Row],[Portico_Specialty]]&amp;"-"&amp;Table1[[#This Row],[Code]]</f>
        <v>Registered Nurse: Rehabilitation-163WR0400X</v>
      </c>
      <c r="U754" s="16" t="str">
        <f ca="1">IFERROR(VLOOKUP(ROWS($U$1:U753),$R$2:$S$918,2,FALSE),"")</f>
        <v>Registered Nurse: Rehabilitation-163WR0400X</v>
      </c>
    </row>
    <row r="755" spans="1:21" ht="30.75" x14ac:dyDescent="0.3">
      <c r="A755" s="21" t="s">
        <v>405</v>
      </c>
      <c r="B755" s="21" t="str">
        <f>Table1[[#This Row],[Code]]&amp;" "&amp;Table1[[#This Row],[Portico_Specialty]]</f>
        <v>163WR1000X Registered Nurse: Reproductive Endocrinology/Infertility</v>
      </c>
      <c r="C755" s="21" t="str">
        <f>CLEAN(Table1[[#This Row],[Code]])</f>
        <v>163WR1000X</v>
      </c>
      <c r="D755" s="1" t="s">
        <v>406</v>
      </c>
      <c r="E755" s="1"/>
      <c r="F755" s="1" t="s">
        <v>2587</v>
      </c>
      <c r="G755" s="3" t="s">
        <v>2588</v>
      </c>
      <c r="H755" s="1" t="s">
        <v>2758</v>
      </c>
      <c r="I755" s="1"/>
      <c r="J755" s="1" t="s">
        <v>2758</v>
      </c>
      <c r="K755" s="1" t="s">
        <v>2641</v>
      </c>
      <c r="L755" s="1" t="s">
        <v>2758</v>
      </c>
      <c r="M755" s="1" t="s">
        <v>2758</v>
      </c>
      <c r="N755" s="1" t="s">
        <v>2758</v>
      </c>
      <c r="O755" s="1" t="s">
        <v>2641</v>
      </c>
      <c r="P755" s="9"/>
      <c r="R755" s="16">
        <f ca="1">IF(ISNUMBER(SEARCH(INDIRECT(CELL("address")),S755)),MAX($R$1:R754)+1,0)</f>
        <v>754</v>
      </c>
      <c r="S755" s="18" t="str">
        <f>Table1[[#This Row],[Portico_Specialty]]&amp;"-"&amp;Table1[[#This Row],[Code]]</f>
        <v>Registered Nurse: Reproductive Endocrinology/Infertility-163WR1000X</v>
      </c>
      <c r="U755" s="16" t="str">
        <f ca="1">IFERROR(VLOOKUP(ROWS($U$1:U754),$R$2:$S$918,2,FALSE),"")</f>
        <v>Registered Nurse: Reproductive Endocrinology/Infertility-163WR1000X</v>
      </c>
    </row>
    <row r="756" spans="1:21" x14ac:dyDescent="0.3">
      <c r="A756" s="21" t="s">
        <v>409</v>
      </c>
      <c r="B756" s="21" t="str">
        <f>Table1[[#This Row],[Code]]&amp;" "&amp;Table1[[#This Row],[Portico_Specialty]]</f>
        <v>163WS0200X Registered Nurse: School</v>
      </c>
      <c r="C756" s="21" t="str">
        <f>CLEAN(Table1[[#This Row],[Code]])</f>
        <v>163WS0200X</v>
      </c>
      <c r="D756" s="1" t="s">
        <v>410</v>
      </c>
      <c r="E756" s="1"/>
      <c r="F756" s="1" t="s">
        <v>2587</v>
      </c>
      <c r="G756" s="3" t="s">
        <v>2588</v>
      </c>
      <c r="H756" s="1" t="s">
        <v>2758</v>
      </c>
      <c r="I756" s="1"/>
      <c r="J756" s="1" t="s">
        <v>2758</v>
      </c>
      <c r="K756" s="1" t="s">
        <v>2641</v>
      </c>
      <c r="L756" s="1" t="s">
        <v>2758</v>
      </c>
      <c r="M756" s="1" t="s">
        <v>2758</v>
      </c>
      <c r="N756" s="1" t="s">
        <v>2758</v>
      </c>
      <c r="O756" s="1" t="s">
        <v>2641</v>
      </c>
      <c r="P756" s="9"/>
      <c r="R756" s="16">
        <f ca="1">IF(ISNUMBER(SEARCH(INDIRECT(CELL("address")),S756)),MAX($R$1:R755)+1,0)</f>
        <v>755</v>
      </c>
      <c r="S756" s="18" t="str">
        <f>Table1[[#This Row],[Portico_Specialty]]&amp;"-"&amp;Table1[[#This Row],[Code]]</f>
        <v>Registered Nurse: School-163WS0200X</v>
      </c>
      <c r="U756" s="16" t="str">
        <f ca="1">IFERROR(VLOOKUP(ROWS($U$1:U755),$R$2:$S$918,2,FALSE),"")</f>
        <v>Registered Nurse: School-163WS0200X</v>
      </c>
    </row>
    <row r="757" spans="1:21" x14ac:dyDescent="0.3">
      <c r="A757" s="21" t="s">
        <v>411</v>
      </c>
      <c r="B757" s="21" t="str">
        <f>Table1[[#This Row],[Code]]&amp;" "&amp;Table1[[#This Row],[Portico_Specialty]]</f>
        <v>163WU0100X Registered Nurse: Urology</v>
      </c>
      <c r="C757" s="21" t="str">
        <f>CLEAN(Table1[[#This Row],[Code]])</f>
        <v>163WU0100X</v>
      </c>
      <c r="D757" s="1" t="s">
        <v>412</v>
      </c>
      <c r="E757" s="1"/>
      <c r="F757" s="1" t="s">
        <v>2587</v>
      </c>
      <c r="G757" s="3" t="s">
        <v>2588</v>
      </c>
      <c r="H757" s="1" t="s">
        <v>2758</v>
      </c>
      <c r="I757" s="1"/>
      <c r="J757" s="1" t="s">
        <v>2758</v>
      </c>
      <c r="K757" s="1" t="s">
        <v>2641</v>
      </c>
      <c r="L757" s="1" t="s">
        <v>2758</v>
      </c>
      <c r="M757" s="1" t="s">
        <v>2758</v>
      </c>
      <c r="N757" s="1" t="s">
        <v>2758</v>
      </c>
      <c r="O757" s="1" t="s">
        <v>2641</v>
      </c>
      <c r="P757" s="9"/>
      <c r="R757" s="16">
        <f ca="1">IF(ISNUMBER(SEARCH(INDIRECT(CELL("address")),S757)),MAX($R$1:R756)+1,0)</f>
        <v>756</v>
      </c>
      <c r="S757" s="18" t="str">
        <f>Table1[[#This Row],[Portico_Specialty]]&amp;"-"&amp;Table1[[#This Row],[Code]]</f>
        <v>Registered Nurse: Urology-163WU0100X</v>
      </c>
      <c r="U757" s="16" t="str">
        <f ca="1">IFERROR(VLOOKUP(ROWS($U$1:U756),$R$2:$S$918,2,FALSE),"")</f>
        <v>Registered Nurse: Urology-163WU0100X</v>
      </c>
    </row>
    <row r="758" spans="1:21" ht="30.75" x14ac:dyDescent="0.3">
      <c r="A758" s="21" t="s">
        <v>415</v>
      </c>
      <c r="B758" s="21" t="str">
        <f>Table1[[#This Row],[Code]]&amp;" "&amp;Table1[[#This Row],[Portico_Specialty]]</f>
        <v>163WW0101X Registered Nurse: Womens Health Care, Ambulatory</v>
      </c>
      <c r="C758" s="21" t="str">
        <f>CLEAN(Table1[[#This Row],[Code]])</f>
        <v>163WW0101X</v>
      </c>
      <c r="D758" s="1" t="s">
        <v>416</v>
      </c>
      <c r="E758" s="1"/>
      <c r="F758" s="1" t="s">
        <v>2587</v>
      </c>
      <c r="G758" s="3" t="s">
        <v>2588</v>
      </c>
      <c r="H758" s="1" t="s">
        <v>2758</v>
      </c>
      <c r="I758" s="1"/>
      <c r="J758" s="1" t="s">
        <v>2758</v>
      </c>
      <c r="K758" s="1" t="s">
        <v>2641</v>
      </c>
      <c r="L758" s="1" t="s">
        <v>2758</v>
      </c>
      <c r="M758" s="1" t="s">
        <v>2758</v>
      </c>
      <c r="N758" s="1" t="s">
        <v>2758</v>
      </c>
      <c r="O758" s="1" t="s">
        <v>2641</v>
      </c>
      <c r="P758" s="9"/>
      <c r="R758" s="16">
        <f ca="1">IF(ISNUMBER(SEARCH(INDIRECT(CELL("address")),S758)),MAX($R$1:R757)+1,0)</f>
        <v>757</v>
      </c>
      <c r="S758" s="18" t="str">
        <f>Table1[[#This Row],[Portico_Specialty]]&amp;"-"&amp;Table1[[#This Row],[Code]]</f>
        <v>Registered Nurse: Womens Health Care, Ambulatory-163WW0101X</v>
      </c>
      <c r="U758" s="16" t="str">
        <f ca="1">IFERROR(VLOOKUP(ROWS($U$1:U757),$R$2:$S$918,2,FALSE),"")</f>
        <v>Registered Nurse: Womens Health Care, Ambulatory-163WW0101X</v>
      </c>
    </row>
    <row r="759" spans="1:21" x14ac:dyDescent="0.3">
      <c r="A759" s="21" t="s">
        <v>413</v>
      </c>
      <c r="B759" s="21" t="str">
        <f>Table1[[#This Row],[Code]]&amp;" "&amp;Table1[[#This Row],[Portico_Specialty]]</f>
        <v>163WW0000X Registered Nurse: Wound Care</v>
      </c>
      <c r="C759" s="21" t="str">
        <f>CLEAN(Table1[[#This Row],[Code]])</f>
        <v>163WW0000X</v>
      </c>
      <c r="D759" s="1" t="s">
        <v>414</v>
      </c>
      <c r="E759" s="1"/>
      <c r="F759" s="1" t="s">
        <v>2587</v>
      </c>
      <c r="G759" s="3" t="s">
        <v>2588</v>
      </c>
      <c r="H759" s="1" t="s">
        <v>2758</v>
      </c>
      <c r="I759" s="1"/>
      <c r="J759" s="1" t="s">
        <v>2758</v>
      </c>
      <c r="K759" s="1" t="s">
        <v>2641</v>
      </c>
      <c r="L759" s="1" t="s">
        <v>2758</v>
      </c>
      <c r="M759" s="1" t="s">
        <v>2758</v>
      </c>
      <c r="N759" s="1" t="s">
        <v>2758</v>
      </c>
      <c r="O759" s="1" t="s">
        <v>2641</v>
      </c>
      <c r="P759" s="9"/>
      <c r="R759" s="16">
        <f ca="1">IF(ISNUMBER(SEARCH(INDIRECT(CELL("address")),S759)),MAX($R$1:R758)+1,0)</f>
        <v>758</v>
      </c>
      <c r="S759" s="18" t="str">
        <f>Table1[[#This Row],[Portico_Specialty]]&amp;"-"&amp;Table1[[#This Row],[Code]]</f>
        <v>Registered Nurse: Wound Care-163WW0000X</v>
      </c>
      <c r="U759" s="16" t="str">
        <f ca="1">IFERROR(VLOOKUP(ROWS($U$1:U758),$R$2:$S$918,2,FALSE),"")</f>
        <v>Registered Nurse: Wound Care-163WW0000X</v>
      </c>
    </row>
    <row r="760" spans="1:21" x14ac:dyDescent="0.3">
      <c r="A760" s="21" t="s">
        <v>1083</v>
      </c>
      <c r="B760" s="21" t="str">
        <f>Table1[[#This Row],[Code]]&amp;" "&amp;Table1[[#This Row],[Portico_Specialty]]</f>
        <v>225C00000X Rehabilitation Counselor</v>
      </c>
      <c r="C760" s="21" t="str">
        <f>CLEAN(Table1[[#This Row],[Code]])</f>
        <v>225C00000X</v>
      </c>
      <c r="D760" s="1" t="s">
        <v>1084</v>
      </c>
      <c r="E760" s="1"/>
      <c r="F760" s="1" t="s">
        <v>2587</v>
      </c>
      <c r="G760" s="3" t="s">
        <v>2588</v>
      </c>
      <c r="H760" s="1" t="s">
        <v>2600</v>
      </c>
      <c r="I760" s="1"/>
      <c r="J760" s="1" t="s">
        <v>2590</v>
      </c>
      <c r="K760" s="1" t="s">
        <v>2601</v>
      </c>
      <c r="L760" s="1"/>
      <c r="M760" s="1"/>
      <c r="N760" s="1"/>
      <c r="O760" s="1" t="s">
        <v>2601</v>
      </c>
      <c r="P760" s="9"/>
      <c r="R760" s="16">
        <f ca="1">IF(ISNUMBER(SEARCH(INDIRECT(CELL("address")),S760)),MAX($R$1:R759)+1,0)</f>
        <v>759</v>
      </c>
      <c r="S760" s="18" t="str">
        <f>Table1[[#This Row],[Portico_Specialty]]&amp;"-"&amp;Table1[[#This Row],[Code]]</f>
        <v>Rehabilitation Counselor-225C00000X</v>
      </c>
      <c r="U760" s="16" t="str">
        <f ca="1">IFERROR(VLOOKUP(ROWS($U$1:U759),$R$2:$S$918,2,FALSE),"")</f>
        <v>Rehabilitation Counselor-225C00000X</v>
      </c>
    </row>
    <row r="761" spans="1:21" ht="30.75" x14ac:dyDescent="0.3">
      <c r="A761" s="21" t="s">
        <v>1085</v>
      </c>
      <c r="B761" s="21" t="str">
        <f>Table1[[#This Row],[Code]]&amp;" "&amp;Table1[[#This Row],[Portico_Specialty]]</f>
        <v>225CA2400X Rehabilitation Counselor: Assistive Technology Practitioner</v>
      </c>
      <c r="C761" s="21" t="str">
        <f>CLEAN(Table1[[#This Row],[Code]])</f>
        <v>225CA2400X</v>
      </c>
      <c r="D761" s="1" t="s">
        <v>1086</v>
      </c>
      <c r="E761" s="1"/>
      <c r="F761" s="1" t="s">
        <v>2587</v>
      </c>
      <c r="G761" s="3" t="s">
        <v>2588</v>
      </c>
      <c r="H761" s="1" t="s">
        <v>2615</v>
      </c>
      <c r="I761" s="1"/>
      <c r="J761" s="1" t="s">
        <v>2590</v>
      </c>
      <c r="K761" s="1" t="s">
        <v>2601</v>
      </c>
      <c r="L761" s="1"/>
      <c r="M761" s="1"/>
      <c r="N761" s="1"/>
      <c r="O761" s="1" t="s">
        <v>2601</v>
      </c>
      <c r="P761" s="9"/>
      <c r="R761" s="16">
        <f ca="1">IF(ISNUMBER(SEARCH(INDIRECT(CELL("address")),S761)),MAX($R$1:R760)+1,0)</f>
        <v>760</v>
      </c>
      <c r="S761" s="18" t="str">
        <f>Table1[[#This Row],[Portico_Specialty]]&amp;"-"&amp;Table1[[#This Row],[Code]]</f>
        <v>Rehabilitation Counselor: Assistive Technology Practitioner-225CA2400X</v>
      </c>
      <c r="U761" s="16" t="str">
        <f ca="1">IFERROR(VLOOKUP(ROWS($U$1:U760),$R$2:$S$918,2,FALSE),"")</f>
        <v>Rehabilitation Counselor: Assistive Technology Practitioner-225CA2400X</v>
      </c>
    </row>
    <row r="762" spans="1:21" ht="30.75" x14ac:dyDescent="0.3">
      <c r="A762" s="21" t="s">
        <v>1087</v>
      </c>
      <c r="B762" s="21" t="str">
        <f>Table1[[#This Row],[Code]]&amp;" "&amp;Table1[[#This Row],[Portico_Specialty]]</f>
        <v>225CA2500X Rehabilitation Counselor: Assistive Technology Supplier</v>
      </c>
      <c r="C762" s="21" t="str">
        <f>CLEAN(Table1[[#This Row],[Code]])</f>
        <v>225CA2500X</v>
      </c>
      <c r="D762" s="1" t="s">
        <v>1088</v>
      </c>
      <c r="E762" s="1"/>
      <c r="F762" s="1" t="s">
        <v>2587</v>
      </c>
      <c r="G762" s="3" t="s">
        <v>2588</v>
      </c>
      <c r="H762" s="1"/>
      <c r="I762" s="1"/>
      <c r="J762" s="1" t="s">
        <v>2590</v>
      </c>
      <c r="K762" s="1" t="s">
        <v>2601</v>
      </c>
      <c r="L762" s="1"/>
      <c r="M762" s="1"/>
      <c r="N762" s="1"/>
      <c r="O762" s="1" t="s">
        <v>2601</v>
      </c>
      <c r="P762" s="9"/>
      <c r="R762" s="16">
        <f ca="1">IF(ISNUMBER(SEARCH(INDIRECT(CELL("address")),S762)),MAX($R$1:R761)+1,0)</f>
        <v>761</v>
      </c>
      <c r="S762" s="18" t="str">
        <f>Table1[[#This Row],[Portico_Specialty]]&amp;"-"&amp;Table1[[#This Row],[Code]]</f>
        <v>Rehabilitation Counselor: Assistive Technology Supplier-225CA2500X</v>
      </c>
      <c r="U762" s="16" t="str">
        <f ca="1">IFERROR(VLOOKUP(ROWS($U$1:U761),$R$2:$S$918,2,FALSE),"")</f>
        <v>Rehabilitation Counselor: Assistive Technology Supplier-225CA2500X</v>
      </c>
    </row>
    <row r="763" spans="1:21" ht="30.75" x14ac:dyDescent="0.3">
      <c r="A763" s="21" t="s">
        <v>1089</v>
      </c>
      <c r="B763" s="21" t="str">
        <f>Table1[[#This Row],[Code]]&amp;" "&amp;Table1[[#This Row],[Portico_Specialty]]</f>
        <v>225CX0006X Rehabilitation Counselor: Orientation and Mobility Training Provider</v>
      </c>
      <c r="C763" s="21" t="str">
        <f>CLEAN(Table1[[#This Row],[Code]])</f>
        <v>225CX0006X</v>
      </c>
      <c r="D763" s="1" t="s">
        <v>1090</v>
      </c>
      <c r="E763" s="1"/>
      <c r="F763" s="1" t="s">
        <v>2587</v>
      </c>
      <c r="G763" s="3" t="s">
        <v>2588</v>
      </c>
      <c r="H763" s="1"/>
      <c r="I763" s="1"/>
      <c r="J763" s="1" t="s">
        <v>2590</v>
      </c>
      <c r="K763" s="1" t="s">
        <v>2601</v>
      </c>
      <c r="L763" s="1"/>
      <c r="M763" s="1"/>
      <c r="N763" s="1"/>
      <c r="O763" s="1" t="s">
        <v>2601</v>
      </c>
      <c r="P763" s="9"/>
      <c r="R763" s="16">
        <f ca="1">IF(ISNUMBER(SEARCH(INDIRECT(CELL("address")),S763)),MAX($R$1:R762)+1,0)</f>
        <v>762</v>
      </c>
      <c r="S763" s="18" t="str">
        <f>Table1[[#This Row],[Portico_Specialty]]&amp;"-"&amp;Table1[[#This Row],[Code]]</f>
        <v>Rehabilitation Counselor: Orientation and Mobility Training Provider-225CX0006X</v>
      </c>
      <c r="U763" s="16" t="str">
        <f ca="1">IFERROR(VLOOKUP(ROWS($U$1:U762),$R$2:$S$918,2,FALSE),"")</f>
        <v>Rehabilitation Counselor: Orientation and Mobility Training Provider-225CX0006X</v>
      </c>
    </row>
    <row r="764" spans="1:21" x14ac:dyDescent="0.3">
      <c r="A764" s="21" t="s">
        <v>1515</v>
      </c>
      <c r="B764" s="21" t="str">
        <f>Table1[[#This Row],[Code]]&amp;" "&amp;Table1[[#This Row],[Portico_Specialty]]</f>
        <v>283X00000X Rehabilitation Hospital</v>
      </c>
      <c r="C764" s="21" t="str">
        <f>CLEAN(Table1[[#This Row],[Code]])</f>
        <v>283X00000X</v>
      </c>
      <c r="D764" s="1" t="s">
        <v>1516</v>
      </c>
      <c r="E764" s="1"/>
      <c r="F764" s="1" t="s">
        <v>2587</v>
      </c>
      <c r="G764" s="4" t="s">
        <v>2593</v>
      </c>
      <c r="H764" s="1" t="s">
        <v>2642</v>
      </c>
      <c r="I764" s="1"/>
      <c r="J764" s="1" t="s">
        <v>2642</v>
      </c>
      <c r="K764" s="1" t="s">
        <v>2642</v>
      </c>
      <c r="L764" s="1" t="s">
        <v>2642</v>
      </c>
      <c r="M764" s="1" t="s">
        <v>2642</v>
      </c>
      <c r="N764" s="1" t="s">
        <v>2643</v>
      </c>
      <c r="O764" s="1" t="s">
        <v>2642</v>
      </c>
      <c r="P764" s="9"/>
      <c r="R764" s="16">
        <f ca="1">IF(ISNUMBER(SEARCH(INDIRECT(CELL("address")),S764)),MAX($R$1:R763)+1,0)</f>
        <v>763</v>
      </c>
      <c r="S764" s="18" t="str">
        <f>Table1[[#This Row],[Portico_Specialty]]&amp;"-"&amp;Table1[[#This Row],[Code]]</f>
        <v>Rehabilitation Hospital-283X00000X</v>
      </c>
      <c r="U764" s="16" t="str">
        <f ca="1">IFERROR(VLOOKUP(ROWS($U$1:U763),$R$2:$S$918,2,FALSE),"")</f>
        <v>Rehabilitation Hospital-283X00000X</v>
      </c>
    </row>
    <row r="765" spans="1:21" x14ac:dyDescent="0.3">
      <c r="A765" s="21" t="s">
        <v>1517</v>
      </c>
      <c r="B765" s="21" t="str">
        <f>Table1[[#This Row],[Code]]&amp;" "&amp;Table1[[#This Row],[Portico_Specialty]]</f>
        <v>283XC2000X Rehabilitation Hospital: Children</v>
      </c>
      <c r="C765" s="21" t="str">
        <f>CLEAN(Table1[[#This Row],[Code]])</f>
        <v>283XC2000X</v>
      </c>
      <c r="D765" s="1" t="s">
        <v>1518</v>
      </c>
      <c r="E765" s="1"/>
      <c r="F765" s="1" t="s">
        <v>2587</v>
      </c>
      <c r="G765" s="3" t="s">
        <v>2588</v>
      </c>
      <c r="H765" s="1" t="s">
        <v>2642</v>
      </c>
      <c r="I765" s="1"/>
      <c r="J765" s="1" t="s">
        <v>2642</v>
      </c>
      <c r="K765" s="1" t="s">
        <v>2642</v>
      </c>
      <c r="L765" s="1" t="s">
        <v>2642</v>
      </c>
      <c r="M765" s="1" t="s">
        <v>2642</v>
      </c>
      <c r="N765" s="1" t="s">
        <v>2643</v>
      </c>
      <c r="O765" s="1" t="s">
        <v>2642</v>
      </c>
      <c r="P765" s="9"/>
      <c r="R765" s="16">
        <f ca="1">IF(ISNUMBER(SEARCH(INDIRECT(CELL("address")),S765)),MAX($R$1:R764)+1,0)</f>
        <v>764</v>
      </c>
      <c r="S765" s="18" t="str">
        <f>Table1[[#This Row],[Portico_Specialty]]&amp;"-"&amp;Table1[[#This Row],[Code]]</f>
        <v>Rehabilitation Hospital: Children-283XC2000X</v>
      </c>
      <c r="U765" s="16" t="str">
        <f ca="1">IFERROR(VLOOKUP(ROWS($U$1:U764),$R$2:$S$918,2,FALSE),"")</f>
        <v>Rehabilitation Hospital: Children-283XC2000X</v>
      </c>
    </row>
    <row r="766" spans="1:21" x14ac:dyDescent="0.3">
      <c r="A766" s="21" t="s">
        <v>1065</v>
      </c>
      <c r="B766" s="21" t="str">
        <f>Table1[[#This Row],[Code]]&amp;" "&amp;Table1[[#This Row],[Portico_Specialty]]</f>
        <v>225400000X Rehabilitation Practitioner</v>
      </c>
      <c r="C766" s="21" t="str">
        <f>CLEAN(Table1[[#This Row],[Code]])</f>
        <v>225400000X</v>
      </c>
      <c r="D766" s="1" t="s">
        <v>1066</v>
      </c>
      <c r="E766" s="1"/>
      <c r="F766" s="1" t="s">
        <v>2587</v>
      </c>
      <c r="G766" s="3" t="s">
        <v>2588</v>
      </c>
      <c r="H766" s="1" t="s">
        <v>2600</v>
      </c>
      <c r="I766" s="1"/>
      <c r="J766" s="1" t="s">
        <v>2590</v>
      </c>
      <c r="K766" s="1" t="s">
        <v>2601</v>
      </c>
      <c r="L766" s="1" t="s">
        <v>2600</v>
      </c>
      <c r="M766" s="1"/>
      <c r="N766" s="1" t="s">
        <v>2601</v>
      </c>
      <c r="O766" s="1" t="s">
        <v>2601</v>
      </c>
      <c r="P766" s="9"/>
      <c r="R766" s="16">
        <f ca="1">IF(ISNUMBER(SEARCH(INDIRECT(CELL("address")),S766)),MAX($R$1:R765)+1,0)</f>
        <v>765</v>
      </c>
      <c r="S766" s="18" t="str">
        <f>Table1[[#This Row],[Portico_Specialty]]&amp;"-"&amp;Table1[[#This Row],[Code]]</f>
        <v>Rehabilitation Practitioner-225400000X</v>
      </c>
      <c r="U766" s="16" t="str">
        <f ca="1">IFERROR(VLOOKUP(ROWS($U$1:U765),$R$2:$S$918,2,FALSE),"")</f>
        <v>Rehabilitation Practitioner-225400000X</v>
      </c>
    </row>
    <row r="767" spans="1:21" x14ac:dyDescent="0.3">
      <c r="A767" s="21" t="s">
        <v>1489</v>
      </c>
      <c r="B767" s="21" t="str">
        <f>Table1[[#This Row],[Code]]&amp;" "&amp;Table1[[#This Row],[Portico_Specialty]]</f>
        <v>273Y00000X Rehabilitation Unit</v>
      </c>
      <c r="C767" s="21" t="str">
        <f>CLEAN(Table1[[#This Row],[Code]])</f>
        <v>273Y00000X</v>
      </c>
      <c r="D767" s="1" t="s">
        <v>1490</v>
      </c>
      <c r="E767" s="1"/>
      <c r="F767" s="1" t="s">
        <v>2587</v>
      </c>
      <c r="G767" s="4" t="s">
        <v>2593</v>
      </c>
      <c r="H767" s="1" t="s">
        <v>2642</v>
      </c>
      <c r="I767" s="1"/>
      <c r="J767" s="1" t="s">
        <v>2642</v>
      </c>
      <c r="K767" s="1" t="s">
        <v>2642</v>
      </c>
      <c r="L767" s="1" t="s">
        <v>2642</v>
      </c>
      <c r="M767" s="1" t="s">
        <v>2642</v>
      </c>
      <c r="N767" s="1" t="s">
        <v>2643</v>
      </c>
      <c r="O767" s="1" t="s">
        <v>2642</v>
      </c>
      <c r="P767" s="9"/>
      <c r="R767" s="16">
        <f ca="1">IF(ISNUMBER(SEARCH(INDIRECT(CELL("address")),S767)),MAX($R$1:R766)+1,0)</f>
        <v>766</v>
      </c>
      <c r="S767" s="18" t="str">
        <f>Table1[[#This Row],[Portico_Specialty]]&amp;"-"&amp;Table1[[#This Row],[Code]]</f>
        <v>Rehabilitation Unit-273Y00000X</v>
      </c>
      <c r="U767" s="16" t="str">
        <f ca="1">IFERROR(VLOOKUP(ROWS($U$1:U766),$R$2:$S$918,2,FALSE),"")</f>
        <v>Rehabilitation Unit-273Y00000X</v>
      </c>
    </row>
    <row r="768" spans="1:21" x14ac:dyDescent="0.3">
      <c r="A768" s="21" t="s">
        <v>1493</v>
      </c>
      <c r="B768" s="21" t="str">
        <f>Table1[[#This Row],[Code]]&amp;" "&amp;Table1[[#This Row],[Portico_Specialty]]</f>
        <v>276400000X Rehabilitation, Substance Use Disorder Unit</v>
      </c>
      <c r="C768" s="21" t="str">
        <f>CLEAN(Table1[[#This Row],[Code]])</f>
        <v>276400000X</v>
      </c>
      <c r="D768" s="1" t="s">
        <v>1494</v>
      </c>
      <c r="E768" s="1" t="s">
        <v>2647</v>
      </c>
      <c r="F768" s="1" t="s">
        <v>2607</v>
      </c>
      <c r="G768" s="3" t="s">
        <v>2588</v>
      </c>
      <c r="H768" s="1" t="s">
        <v>2642</v>
      </c>
      <c r="I768" s="1">
        <v>70</v>
      </c>
      <c r="J768" s="1" t="s">
        <v>2660</v>
      </c>
      <c r="K768" s="1" t="s">
        <v>2642</v>
      </c>
      <c r="L768" s="1" t="s">
        <v>2642</v>
      </c>
      <c r="M768" s="1" t="s">
        <v>2642</v>
      </c>
      <c r="N768" s="1"/>
      <c r="O768" s="1" t="s">
        <v>2642</v>
      </c>
      <c r="P768" s="9"/>
      <c r="R768" s="16">
        <f ca="1">IF(ISNUMBER(SEARCH(INDIRECT(CELL("address")),S768)),MAX($R$1:R767)+1,0)</f>
        <v>767</v>
      </c>
      <c r="S768" s="18" t="str">
        <f>Table1[[#This Row],[Portico_Specialty]]&amp;"-"&amp;Table1[[#This Row],[Code]]</f>
        <v>Rehabilitation, Substance Use Disorder Unit-276400000X</v>
      </c>
      <c r="U768" s="16" t="str">
        <f ca="1">IFERROR(VLOOKUP(ROWS($U$1:U767),$R$2:$S$918,2,FALSE),"")</f>
        <v>Rehabilitation, Substance Use Disorder Unit-276400000X</v>
      </c>
    </row>
    <row r="769" spans="1:21" ht="30.75" x14ac:dyDescent="0.3">
      <c r="A769" s="21" t="s">
        <v>1501</v>
      </c>
      <c r="B769" s="21" t="str">
        <f>Table1[[#This Row],[Code]]&amp;" "&amp;Table1[[#This Row],[Portico_Specialty]]</f>
        <v>282J00000X Religious Nonmedical Health Care Institution</v>
      </c>
      <c r="C769" s="21" t="str">
        <f>CLEAN(Table1[[#This Row],[Code]])</f>
        <v>282J00000X</v>
      </c>
      <c r="D769" s="1" t="s">
        <v>1502</v>
      </c>
      <c r="E769" s="1"/>
      <c r="F769" s="1" t="s">
        <v>2587</v>
      </c>
      <c r="G769" s="4" t="s">
        <v>2593</v>
      </c>
      <c r="H769" s="1" t="s">
        <v>2642</v>
      </c>
      <c r="I769" s="1"/>
      <c r="J769" s="1" t="s">
        <v>2642</v>
      </c>
      <c r="K769" s="1" t="s">
        <v>2642</v>
      </c>
      <c r="L769" s="1" t="s">
        <v>2642</v>
      </c>
      <c r="M769" s="1" t="s">
        <v>2859</v>
      </c>
      <c r="N769" s="1" t="s">
        <v>2643</v>
      </c>
      <c r="O769" s="1" t="s">
        <v>2642</v>
      </c>
      <c r="P769" s="9"/>
      <c r="R769" s="16">
        <f ca="1">IF(ISNUMBER(SEARCH(INDIRECT(CELL("address")),S769)),MAX($R$1:R768)+1,0)</f>
        <v>768</v>
      </c>
      <c r="S769" s="18" t="str">
        <f>Table1[[#This Row],[Portico_Specialty]]&amp;"-"&amp;Table1[[#This Row],[Code]]</f>
        <v>Religious Nonmedical Health Care Institution-282J00000X</v>
      </c>
      <c r="U769" s="16" t="str">
        <f ca="1">IFERROR(VLOOKUP(ROWS($U$1:U768),$R$2:$S$918,2,FALSE),"")</f>
        <v>Religious Nonmedical Health Care Institution-282J00000X</v>
      </c>
    </row>
    <row r="770" spans="1:21" x14ac:dyDescent="0.3">
      <c r="A770" s="21" t="s">
        <v>1815</v>
      </c>
      <c r="B770" s="21" t="str">
        <f>Table1[[#This Row],[Code]]&amp;" "&amp;Table1[[#This Row],[Portico_Specialty]]</f>
        <v>374K00000X Religious Nonmedical Practitioner</v>
      </c>
      <c r="C770" s="21" t="str">
        <f>CLEAN(Table1[[#This Row],[Code]])</f>
        <v>374K00000X</v>
      </c>
      <c r="D770" s="1" t="s">
        <v>1816</v>
      </c>
      <c r="E770" s="1"/>
      <c r="F770" s="1" t="s">
        <v>2587</v>
      </c>
      <c r="G770" s="3" t="s">
        <v>2588</v>
      </c>
      <c r="H770" s="1"/>
      <c r="I770" s="1"/>
      <c r="J770" s="1" t="s">
        <v>2859</v>
      </c>
      <c r="K770" s="1" t="s">
        <v>2682</v>
      </c>
      <c r="L770" s="1"/>
      <c r="M770" s="1" t="s">
        <v>2859</v>
      </c>
      <c r="N770" s="1"/>
      <c r="O770" s="1" t="s">
        <v>2682</v>
      </c>
      <c r="P770" s="9"/>
      <c r="R770" s="16">
        <f ca="1">IF(ISNUMBER(SEARCH(INDIRECT(CELL("address")),S770)),MAX($R$1:R769)+1,0)</f>
        <v>769</v>
      </c>
      <c r="S770" s="18" t="str">
        <f>Table1[[#This Row],[Portico_Specialty]]&amp;"-"&amp;Table1[[#This Row],[Code]]</f>
        <v>Religious Nonmedical Practitioner-374K00000X</v>
      </c>
      <c r="U770" s="16" t="str">
        <f ca="1">IFERROR(VLOOKUP(ROWS($U$1:U769),$R$2:$S$918,2,FALSE),"")</f>
        <v>Religious Nonmedical Practitioner-374K00000X</v>
      </c>
    </row>
    <row r="771" spans="1:21" ht="30.75" x14ac:dyDescent="0.3">
      <c r="A771" s="21" t="s">
        <v>1581</v>
      </c>
      <c r="B771" s="21" t="str">
        <f>Table1[[#This Row],[Code]]&amp;" "&amp;Table1[[#This Row],[Portico_Specialty]]</f>
        <v>322D00000X Residential Treatment Facility, Emotionally Disturbed Children</v>
      </c>
      <c r="C771" s="21" t="str">
        <f>CLEAN(Table1[[#This Row],[Code]])</f>
        <v>322D00000X</v>
      </c>
      <c r="D771" s="1" t="s">
        <v>1582</v>
      </c>
      <c r="E771" s="1" t="s">
        <v>2647</v>
      </c>
      <c r="F771" s="1" t="s">
        <v>2607</v>
      </c>
      <c r="G771" s="3" t="s">
        <v>2588</v>
      </c>
      <c r="H771" s="1" t="s">
        <v>2621</v>
      </c>
      <c r="I771" s="1"/>
      <c r="J771" s="1" t="s">
        <v>2621</v>
      </c>
      <c r="K771" s="1" t="s">
        <v>2621</v>
      </c>
      <c r="L771" s="1" t="s">
        <v>2622</v>
      </c>
      <c r="M771" s="1" t="s">
        <v>2661</v>
      </c>
      <c r="N771" s="1" t="s">
        <v>2621</v>
      </c>
      <c r="O771" s="1" t="s">
        <v>2621</v>
      </c>
      <c r="P771" s="9"/>
      <c r="R771" s="16">
        <f ca="1">IF(ISNUMBER(SEARCH(INDIRECT(CELL("address")),S771)),MAX($R$1:R770)+1,0)</f>
        <v>770</v>
      </c>
      <c r="S771" s="18" t="str">
        <f>Table1[[#This Row],[Portico_Specialty]]&amp;"-"&amp;Table1[[#This Row],[Code]]</f>
        <v>Residential Treatment Facility, Emotionally Disturbed Children-322D00000X</v>
      </c>
      <c r="U771" s="16" t="str">
        <f ca="1">IFERROR(VLOOKUP(ROWS($U$1:U770),$R$2:$S$918,2,FALSE),"")</f>
        <v>Residential Treatment Facility, Emotionally Disturbed Children-322D00000X</v>
      </c>
    </row>
    <row r="772" spans="1:21" ht="30.75" x14ac:dyDescent="0.3">
      <c r="A772" s="21" t="s">
        <v>1573</v>
      </c>
      <c r="B772" s="21" t="str">
        <f>Table1[[#This Row],[Code]]&amp;" "&amp;Table1[[#This Row],[Portico_Specialty]]</f>
        <v>320600000X Residential Treatment Facility, Mental Retardation and/or Developmental Disabilities</v>
      </c>
      <c r="C772" s="21" t="str">
        <f>CLEAN(Table1[[#This Row],[Code]])</f>
        <v>320600000X</v>
      </c>
      <c r="D772" s="1" t="s">
        <v>1574</v>
      </c>
      <c r="E772" s="1"/>
      <c r="F772" s="4" t="s">
        <v>2619</v>
      </c>
      <c r="G772" s="3" t="s">
        <v>2588</v>
      </c>
      <c r="H772" s="1" t="s">
        <v>2621</v>
      </c>
      <c r="I772" s="1"/>
      <c r="J772" s="1" t="s">
        <v>2621</v>
      </c>
      <c r="K772" s="1" t="s">
        <v>2621</v>
      </c>
      <c r="L772" s="1" t="s">
        <v>2621</v>
      </c>
      <c r="M772" s="1" t="s">
        <v>2621</v>
      </c>
      <c r="N772" s="1" t="s">
        <v>2621</v>
      </c>
      <c r="O772" s="1" t="s">
        <v>2621</v>
      </c>
      <c r="P772" s="9"/>
      <c r="R772" s="16">
        <f ca="1">IF(ISNUMBER(SEARCH(INDIRECT(CELL("address")),S772)),MAX($R$1:R771)+1,0)</f>
        <v>771</v>
      </c>
      <c r="S772" s="18" t="str">
        <f>Table1[[#This Row],[Portico_Specialty]]&amp;"-"&amp;Table1[[#This Row],[Code]]</f>
        <v>Residential Treatment Facility, Mental Retardation and/or Developmental Disabilities-320600000X</v>
      </c>
      <c r="U772" s="16" t="str">
        <f ca="1">IFERROR(VLOOKUP(ROWS($U$1:U771),$R$2:$S$918,2,FALSE),"")</f>
        <v>Residential Treatment Facility, Mental Retardation and/or Developmental Disabilities-320600000X</v>
      </c>
    </row>
    <row r="773" spans="1:21" ht="30.75" x14ac:dyDescent="0.3">
      <c r="A773" s="21" t="s">
        <v>1575</v>
      </c>
      <c r="B773" s="21" t="str">
        <f>Table1[[#This Row],[Code]]&amp;" "&amp;Table1[[#This Row],[Portico_Specialty]]</f>
        <v>320700000X Residential Treatment Facility, Physical Disabilities</v>
      </c>
      <c r="C773" s="21" t="str">
        <f>CLEAN(Table1[[#This Row],[Code]])</f>
        <v>320700000X</v>
      </c>
      <c r="D773" s="1" t="s">
        <v>1576</v>
      </c>
      <c r="E773" s="1"/>
      <c r="F773" s="1" t="s">
        <v>2587</v>
      </c>
      <c r="G773" s="3" t="s">
        <v>2588</v>
      </c>
      <c r="H773" s="1" t="s">
        <v>2621</v>
      </c>
      <c r="I773" s="1"/>
      <c r="J773" s="1" t="s">
        <v>2621</v>
      </c>
      <c r="K773" s="1" t="s">
        <v>2621</v>
      </c>
      <c r="L773" s="1" t="s">
        <v>2621</v>
      </c>
      <c r="M773" s="1" t="s">
        <v>2621</v>
      </c>
      <c r="N773" s="1" t="s">
        <v>2621</v>
      </c>
      <c r="O773" s="1" t="s">
        <v>2621</v>
      </c>
      <c r="P773" s="9"/>
      <c r="R773" s="16">
        <f ca="1">IF(ISNUMBER(SEARCH(INDIRECT(CELL("address")),S773)),MAX($R$1:R772)+1,0)</f>
        <v>772</v>
      </c>
      <c r="S773" s="18" t="str">
        <f>Table1[[#This Row],[Portico_Specialty]]&amp;"-"&amp;Table1[[#This Row],[Code]]</f>
        <v>Residential Treatment Facility, Physical Disabilities-320700000X</v>
      </c>
      <c r="U773" s="16" t="str">
        <f ca="1">IFERROR(VLOOKUP(ROWS($U$1:U772),$R$2:$S$918,2,FALSE),"")</f>
        <v>Residential Treatment Facility, Physical Disabilities-320700000X</v>
      </c>
    </row>
    <row r="774" spans="1:21" x14ac:dyDescent="0.3">
      <c r="A774" s="21" t="s">
        <v>1121</v>
      </c>
      <c r="B774" s="21" t="str">
        <f>Table1[[#This Row],[Code]]&amp;" "&amp;Table1[[#This Row],[Portico_Specialty]]</f>
        <v>227800000X Respiratory Therapist, Certified</v>
      </c>
      <c r="C774" s="21" t="str">
        <f>CLEAN(Table1[[#This Row],[Code]])</f>
        <v>227800000X</v>
      </c>
      <c r="D774" s="1" t="s">
        <v>1122</v>
      </c>
      <c r="E774" s="1"/>
      <c r="F774" s="1" t="s">
        <v>2587</v>
      </c>
      <c r="G774" s="3" t="s">
        <v>2588</v>
      </c>
      <c r="H774" s="1" t="s">
        <v>2860</v>
      </c>
      <c r="I774" s="1"/>
      <c r="J774" s="1" t="s">
        <v>2600</v>
      </c>
      <c r="K774" s="1" t="s">
        <v>2601</v>
      </c>
      <c r="L774" s="1" t="s">
        <v>2600</v>
      </c>
      <c r="M774" s="1" t="s">
        <v>2600</v>
      </c>
      <c r="N774" s="1" t="s">
        <v>2600</v>
      </c>
      <c r="O774" s="1" t="s">
        <v>2601</v>
      </c>
      <c r="P774" s="9"/>
      <c r="R774" s="16">
        <f ca="1">IF(ISNUMBER(SEARCH(INDIRECT(CELL("address")),S774)),MAX($R$1:R773)+1,0)</f>
        <v>773</v>
      </c>
      <c r="S774" s="18" t="str">
        <f>Table1[[#This Row],[Portico_Specialty]]&amp;"-"&amp;Table1[[#This Row],[Code]]</f>
        <v>Respiratory Therapist, Certified-227800000X</v>
      </c>
      <c r="U774" s="16" t="str">
        <f ca="1">IFERROR(VLOOKUP(ROWS($U$1:U773),$R$2:$S$918,2,FALSE),"")</f>
        <v>Respiratory Therapist, Certified-227800000X</v>
      </c>
    </row>
    <row r="775" spans="1:21" ht="30.75" x14ac:dyDescent="0.3">
      <c r="A775" s="21" t="s">
        <v>1123</v>
      </c>
      <c r="B775" s="21" t="str">
        <f>Table1[[#This Row],[Code]]&amp;" "&amp;Table1[[#This Row],[Portico_Specialty]]</f>
        <v>2278C0205X Respiratory Therapist, Certified: Critical Care</v>
      </c>
      <c r="C775" s="21" t="str">
        <f>CLEAN(Table1[[#This Row],[Code]])</f>
        <v>2278C0205X</v>
      </c>
      <c r="D775" s="1" t="s">
        <v>1124</v>
      </c>
      <c r="E775" s="1"/>
      <c r="F775" s="1" t="s">
        <v>2587</v>
      </c>
      <c r="G775" s="3" t="s">
        <v>2588</v>
      </c>
      <c r="H775" s="1" t="s">
        <v>2600</v>
      </c>
      <c r="I775" s="1"/>
      <c r="J775" s="1" t="s">
        <v>2600</v>
      </c>
      <c r="K775" s="1" t="s">
        <v>2601</v>
      </c>
      <c r="L775" s="1" t="s">
        <v>2600</v>
      </c>
      <c r="M775" s="1" t="s">
        <v>2600</v>
      </c>
      <c r="N775" s="1" t="s">
        <v>2600</v>
      </c>
      <c r="O775" s="1" t="s">
        <v>2601</v>
      </c>
      <c r="P775" s="9"/>
      <c r="R775" s="16">
        <f ca="1">IF(ISNUMBER(SEARCH(INDIRECT(CELL("address")),S775)),MAX($R$1:R774)+1,0)</f>
        <v>774</v>
      </c>
      <c r="S775" s="18" t="str">
        <f>Table1[[#This Row],[Portico_Specialty]]&amp;"-"&amp;Table1[[#This Row],[Code]]</f>
        <v>Respiratory Therapist, Certified: Critical Care-2278C0205X</v>
      </c>
      <c r="U775" s="16" t="str">
        <f ca="1">IFERROR(VLOOKUP(ROWS($U$1:U774),$R$2:$S$918,2,FALSE),"")</f>
        <v>Respiratory Therapist, Certified: Critical Care-2278C0205X</v>
      </c>
    </row>
    <row r="776" spans="1:21" x14ac:dyDescent="0.3">
      <c r="A776" s="21" t="s">
        <v>1127</v>
      </c>
      <c r="B776" s="21" t="str">
        <f>Table1[[#This Row],[Code]]&amp;" "&amp;Table1[[#This Row],[Portico_Specialty]]</f>
        <v>2278E1000X Respiratory Therapist, Certified: Educational</v>
      </c>
      <c r="C776" s="21" t="str">
        <f>CLEAN(Table1[[#This Row],[Code]])</f>
        <v>2278E1000X</v>
      </c>
      <c r="D776" s="1" t="s">
        <v>1128</v>
      </c>
      <c r="E776" s="1"/>
      <c r="F776" s="1" t="s">
        <v>2587</v>
      </c>
      <c r="G776" s="3" t="s">
        <v>2588</v>
      </c>
      <c r="H776" s="1" t="s">
        <v>2600</v>
      </c>
      <c r="I776" s="1"/>
      <c r="J776" s="1" t="s">
        <v>2600</v>
      </c>
      <c r="K776" s="1" t="s">
        <v>2601</v>
      </c>
      <c r="L776" s="1" t="s">
        <v>2600</v>
      </c>
      <c r="M776" s="1" t="s">
        <v>2600</v>
      </c>
      <c r="N776" s="1" t="s">
        <v>2600</v>
      </c>
      <c r="O776" s="1" t="s">
        <v>2601</v>
      </c>
      <c r="P776" s="9"/>
      <c r="R776" s="16">
        <f ca="1">IF(ISNUMBER(SEARCH(INDIRECT(CELL("address")),S776)),MAX($R$1:R775)+1,0)</f>
        <v>775</v>
      </c>
      <c r="S776" s="18" t="str">
        <f>Table1[[#This Row],[Portico_Specialty]]&amp;"-"&amp;Table1[[#This Row],[Code]]</f>
        <v>Respiratory Therapist, Certified: Educational-2278E1000X</v>
      </c>
      <c r="U776" s="16" t="str">
        <f ca="1">IFERROR(VLOOKUP(ROWS($U$1:U775),$R$2:$S$918,2,FALSE),"")</f>
        <v>Respiratory Therapist, Certified: Educational-2278E1000X</v>
      </c>
    </row>
    <row r="777" spans="1:21" ht="30.75" x14ac:dyDescent="0.3">
      <c r="A777" s="21" t="s">
        <v>1125</v>
      </c>
      <c r="B777" s="21" t="str">
        <f>Table1[[#This Row],[Code]]&amp;" "&amp;Table1[[#This Row],[Portico_Specialty]]</f>
        <v>2278E0002X Respiratory Therapist, Certified: Emergency Care</v>
      </c>
      <c r="C777" s="21" t="str">
        <f>CLEAN(Table1[[#This Row],[Code]])</f>
        <v>2278E0002X</v>
      </c>
      <c r="D777" s="1" t="s">
        <v>1126</v>
      </c>
      <c r="E777" s="1"/>
      <c r="F777" s="1" t="s">
        <v>2587</v>
      </c>
      <c r="G777" s="3" t="s">
        <v>2588</v>
      </c>
      <c r="H777" s="1" t="s">
        <v>2600</v>
      </c>
      <c r="I777" s="1"/>
      <c r="J777" s="1" t="s">
        <v>2600</v>
      </c>
      <c r="K777" s="1" t="s">
        <v>2601</v>
      </c>
      <c r="L777" s="1" t="s">
        <v>2600</v>
      </c>
      <c r="M777" s="1" t="s">
        <v>2600</v>
      </c>
      <c r="N777" s="1" t="s">
        <v>2600</v>
      </c>
      <c r="O777" s="1" t="s">
        <v>2601</v>
      </c>
      <c r="P777" s="9"/>
      <c r="R777" s="16">
        <f ca="1">IF(ISNUMBER(SEARCH(INDIRECT(CELL("address")),S777)),MAX($R$1:R776)+1,0)</f>
        <v>776</v>
      </c>
      <c r="S777" s="18" t="str">
        <f>Table1[[#This Row],[Portico_Specialty]]&amp;"-"&amp;Table1[[#This Row],[Code]]</f>
        <v>Respiratory Therapist, Certified: Emergency Care-2278E0002X</v>
      </c>
      <c r="U777" s="16" t="str">
        <f ca="1">IFERROR(VLOOKUP(ROWS($U$1:U776),$R$2:$S$918,2,FALSE),"")</f>
        <v>Respiratory Therapist, Certified: Emergency Care-2278E0002X</v>
      </c>
    </row>
    <row r="778" spans="1:21" ht="30.75" x14ac:dyDescent="0.3">
      <c r="A778" s="21" t="s">
        <v>1131</v>
      </c>
      <c r="B778" s="21" t="str">
        <f>Table1[[#This Row],[Code]]&amp;" "&amp;Table1[[#This Row],[Portico_Specialty]]</f>
        <v>2278G1100X Respiratory Therapist, Certified: General Care</v>
      </c>
      <c r="C778" s="21" t="str">
        <f>CLEAN(Table1[[#This Row],[Code]])</f>
        <v>2278G1100X</v>
      </c>
      <c r="D778" s="1" t="s">
        <v>1132</v>
      </c>
      <c r="E778" s="1"/>
      <c r="F778" s="1" t="s">
        <v>2587</v>
      </c>
      <c r="G778" s="3" t="s">
        <v>2588</v>
      </c>
      <c r="H778" s="1" t="s">
        <v>2600</v>
      </c>
      <c r="I778" s="1"/>
      <c r="J778" s="1" t="s">
        <v>2600</v>
      </c>
      <c r="K778" s="1" t="s">
        <v>2601</v>
      </c>
      <c r="L778" s="1" t="s">
        <v>2600</v>
      </c>
      <c r="M778" s="1" t="s">
        <v>2600</v>
      </c>
      <c r="N778" s="1" t="s">
        <v>2600</v>
      </c>
      <c r="O778" s="1" t="s">
        <v>2601</v>
      </c>
      <c r="P778" s="9"/>
      <c r="R778" s="16">
        <f ca="1">IF(ISNUMBER(SEARCH(INDIRECT(CELL("address")),S778)),MAX($R$1:R777)+1,0)</f>
        <v>777</v>
      </c>
      <c r="S778" s="18" t="str">
        <f>Table1[[#This Row],[Portico_Specialty]]&amp;"-"&amp;Table1[[#This Row],[Code]]</f>
        <v>Respiratory Therapist, Certified: General Care-2278G1100X</v>
      </c>
      <c r="U778" s="16" t="str">
        <f ca="1">IFERROR(VLOOKUP(ROWS($U$1:U777),$R$2:$S$918,2,FALSE),"")</f>
        <v>Respiratory Therapist, Certified: General Care-2278G1100X</v>
      </c>
    </row>
    <row r="779" spans="1:21" ht="30.75" x14ac:dyDescent="0.3">
      <c r="A779" s="21" t="s">
        <v>1129</v>
      </c>
      <c r="B779" s="21" t="str">
        <f>Table1[[#This Row],[Code]]&amp;" "&amp;Table1[[#This Row],[Portico_Specialty]]</f>
        <v>2278G0305X Respiratory Therapist, Certified: Geriatric Care</v>
      </c>
      <c r="C779" s="21" t="str">
        <f>CLEAN(Table1[[#This Row],[Code]])</f>
        <v>2278G0305X</v>
      </c>
      <c r="D779" s="1" t="s">
        <v>1130</v>
      </c>
      <c r="E779" s="1"/>
      <c r="F779" s="1" t="s">
        <v>2587</v>
      </c>
      <c r="G779" s="3" t="s">
        <v>2588</v>
      </c>
      <c r="H779" s="1" t="s">
        <v>2600</v>
      </c>
      <c r="I779" s="1"/>
      <c r="J779" s="1" t="s">
        <v>2600</v>
      </c>
      <c r="K779" s="1" t="s">
        <v>2601</v>
      </c>
      <c r="L779" s="1" t="s">
        <v>2600</v>
      </c>
      <c r="M779" s="1" t="s">
        <v>2600</v>
      </c>
      <c r="N779" s="1" t="s">
        <v>2600</v>
      </c>
      <c r="O779" s="1" t="s">
        <v>2601</v>
      </c>
      <c r="P779" s="9"/>
      <c r="R779" s="16">
        <f ca="1">IF(ISNUMBER(SEARCH(INDIRECT(CELL("address")),S779)),MAX($R$1:R778)+1,0)</f>
        <v>778</v>
      </c>
      <c r="S779" s="18" t="str">
        <f>Table1[[#This Row],[Portico_Specialty]]&amp;"-"&amp;Table1[[#This Row],[Code]]</f>
        <v>Respiratory Therapist, Certified: Geriatric Care-2278G0305X</v>
      </c>
      <c r="U779" s="16" t="str">
        <f ca="1">IFERROR(VLOOKUP(ROWS($U$1:U778),$R$2:$S$918,2,FALSE),"")</f>
        <v>Respiratory Therapist, Certified: Geriatric Care-2278G0305X</v>
      </c>
    </row>
    <row r="780" spans="1:21" ht="30.75" x14ac:dyDescent="0.3">
      <c r="A780" s="21" t="s">
        <v>1133</v>
      </c>
      <c r="B780" s="21" t="str">
        <f>Table1[[#This Row],[Code]]&amp;" "&amp;Table1[[#This Row],[Portico_Specialty]]</f>
        <v>2278H0200X Respiratory Therapist, Certified: Home Health</v>
      </c>
      <c r="C780" s="21" t="str">
        <f>CLEAN(Table1[[#This Row],[Code]])</f>
        <v>2278H0200X</v>
      </c>
      <c r="D780" s="1" t="s">
        <v>1134</v>
      </c>
      <c r="E780" s="1"/>
      <c r="F780" s="1" t="s">
        <v>2587</v>
      </c>
      <c r="G780" s="3" t="s">
        <v>2588</v>
      </c>
      <c r="H780" s="1" t="s">
        <v>2600</v>
      </c>
      <c r="I780" s="1"/>
      <c r="J780" s="1" t="s">
        <v>2600</v>
      </c>
      <c r="K780" s="1" t="s">
        <v>2601</v>
      </c>
      <c r="L780" s="1" t="s">
        <v>2600</v>
      </c>
      <c r="M780" s="1" t="s">
        <v>2600</v>
      </c>
      <c r="N780" s="1" t="s">
        <v>2861</v>
      </c>
      <c r="O780" s="1" t="s">
        <v>2601</v>
      </c>
      <c r="P780" s="9"/>
      <c r="R780" s="16">
        <f ca="1">IF(ISNUMBER(SEARCH(INDIRECT(CELL("address")),S780)),MAX($R$1:R779)+1,0)</f>
        <v>779</v>
      </c>
      <c r="S780" s="18" t="str">
        <f>Table1[[#This Row],[Portico_Specialty]]&amp;"-"&amp;Table1[[#This Row],[Code]]</f>
        <v>Respiratory Therapist, Certified: Home Health-2278H0200X</v>
      </c>
      <c r="U780" s="16" t="str">
        <f ca="1">IFERROR(VLOOKUP(ROWS($U$1:U779),$R$2:$S$918,2,FALSE),"")</f>
        <v>Respiratory Therapist, Certified: Home Health-2278H0200X</v>
      </c>
    </row>
    <row r="781" spans="1:21" ht="30.75" x14ac:dyDescent="0.3">
      <c r="A781" s="21" t="s">
        <v>1143</v>
      </c>
      <c r="B781" s="21" t="str">
        <f>Table1[[#This Row],[Code]]&amp;" "&amp;Table1[[#This Row],[Portico_Specialty]]</f>
        <v>2278P3900X Respiratory Therapist, Certified: Neonatal/Pediatrics</v>
      </c>
      <c r="C781" s="21" t="str">
        <f>CLEAN(Table1[[#This Row],[Code]])</f>
        <v>2278P3900X</v>
      </c>
      <c r="D781" s="1" t="s">
        <v>1144</v>
      </c>
      <c r="E781" s="1"/>
      <c r="F781" s="1" t="s">
        <v>2587</v>
      </c>
      <c r="G781" s="3" t="s">
        <v>2588</v>
      </c>
      <c r="H781" s="1" t="s">
        <v>2600</v>
      </c>
      <c r="I781" s="1"/>
      <c r="J781" s="1" t="s">
        <v>2600</v>
      </c>
      <c r="K781" s="1" t="s">
        <v>2601</v>
      </c>
      <c r="L781" s="1" t="s">
        <v>2600</v>
      </c>
      <c r="M781" s="1" t="s">
        <v>2600</v>
      </c>
      <c r="N781" s="1" t="s">
        <v>2707</v>
      </c>
      <c r="O781" s="1" t="s">
        <v>2601</v>
      </c>
      <c r="P781" s="9"/>
      <c r="R781" s="16">
        <f ca="1">IF(ISNUMBER(SEARCH(INDIRECT(CELL("address")),S781)),MAX($R$1:R780)+1,0)</f>
        <v>780</v>
      </c>
      <c r="S781" s="18" t="str">
        <f>Table1[[#This Row],[Portico_Specialty]]&amp;"-"&amp;Table1[[#This Row],[Code]]</f>
        <v>Respiratory Therapist, Certified: Neonatal/Pediatrics-2278P3900X</v>
      </c>
      <c r="U781" s="16" t="str">
        <f ca="1">IFERROR(VLOOKUP(ROWS($U$1:U780),$R$2:$S$918,2,FALSE),"")</f>
        <v>Respiratory Therapist, Certified: Neonatal/Pediatrics-2278P3900X</v>
      </c>
    </row>
    <row r="782" spans="1:21" ht="30.75" x14ac:dyDescent="0.3">
      <c r="A782" s="21" t="s">
        <v>1141</v>
      </c>
      <c r="B782" s="21" t="str">
        <f>Table1[[#This Row],[Code]]&amp;" "&amp;Table1[[#This Row],[Portico_Specialty]]</f>
        <v>2278P3800X Respiratory Therapist, Certified: Palliative/Hospice</v>
      </c>
      <c r="C782" s="21" t="str">
        <f>CLEAN(Table1[[#This Row],[Code]])</f>
        <v>2278P3800X</v>
      </c>
      <c r="D782" s="1" t="s">
        <v>1142</v>
      </c>
      <c r="E782" s="1"/>
      <c r="F782" s="1" t="s">
        <v>2587</v>
      </c>
      <c r="G782" s="3" t="s">
        <v>2588</v>
      </c>
      <c r="H782" s="1" t="s">
        <v>2600</v>
      </c>
      <c r="I782" s="1"/>
      <c r="J782" s="1" t="s">
        <v>2600</v>
      </c>
      <c r="K782" s="1" t="s">
        <v>2601</v>
      </c>
      <c r="L782" s="1" t="s">
        <v>2600</v>
      </c>
      <c r="M782" s="1" t="s">
        <v>2600</v>
      </c>
      <c r="N782" s="1" t="s">
        <v>2600</v>
      </c>
      <c r="O782" s="1" t="s">
        <v>2601</v>
      </c>
      <c r="P782" s="9"/>
      <c r="R782" s="16">
        <f ca="1">IF(ISNUMBER(SEARCH(INDIRECT(CELL("address")),S782)),MAX($R$1:R781)+1,0)</f>
        <v>781</v>
      </c>
      <c r="S782" s="18" t="str">
        <f>Table1[[#This Row],[Portico_Specialty]]&amp;"-"&amp;Table1[[#This Row],[Code]]</f>
        <v>Respiratory Therapist, Certified: Palliative/Hospice-2278P3800X</v>
      </c>
      <c r="U782" s="16" t="str">
        <f ca="1">IFERROR(VLOOKUP(ROWS($U$1:U781),$R$2:$S$918,2,FALSE),"")</f>
        <v>Respiratory Therapist, Certified: Palliative/Hospice-2278P3800X</v>
      </c>
    </row>
    <row r="783" spans="1:21" ht="30.75" x14ac:dyDescent="0.3">
      <c r="A783" s="21" t="s">
        <v>1145</v>
      </c>
      <c r="B783" s="21" t="str">
        <f>Table1[[#This Row],[Code]]&amp;" "&amp;Table1[[#This Row],[Portico_Specialty]]</f>
        <v>2278P4000X Respiratory Therapist, Certified: Patient Transport</v>
      </c>
      <c r="C783" s="21" t="str">
        <f>CLEAN(Table1[[#This Row],[Code]])</f>
        <v>2278P4000X</v>
      </c>
      <c r="D783" s="1" t="s">
        <v>1146</v>
      </c>
      <c r="E783" s="1"/>
      <c r="F783" s="1" t="s">
        <v>2587</v>
      </c>
      <c r="G783" s="3" t="s">
        <v>2588</v>
      </c>
      <c r="H783" s="1" t="s">
        <v>2600</v>
      </c>
      <c r="I783" s="1"/>
      <c r="J783" s="1" t="s">
        <v>2600</v>
      </c>
      <c r="K783" s="1" t="s">
        <v>2601</v>
      </c>
      <c r="L783" s="1" t="s">
        <v>2600</v>
      </c>
      <c r="M783" s="1" t="s">
        <v>2600</v>
      </c>
      <c r="N783" s="1" t="s">
        <v>2600</v>
      </c>
      <c r="O783" s="1" t="s">
        <v>2601</v>
      </c>
      <c r="P783" s="9"/>
      <c r="R783" s="16">
        <f ca="1">IF(ISNUMBER(SEARCH(INDIRECT(CELL("address")),S783)),MAX($R$1:R782)+1,0)</f>
        <v>782</v>
      </c>
      <c r="S783" s="18" t="str">
        <f>Table1[[#This Row],[Portico_Specialty]]&amp;"-"&amp;Table1[[#This Row],[Code]]</f>
        <v>Respiratory Therapist, Certified: Patient Transport-2278P4000X</v>
      </c>
      <c r="U783" s="16" t="str">
        <f ca="1">IFERROR(VLOOKUP(ROWS($U$1:U782),$R$2:$S$918,2,FALSE),"")</f>
        <v>Respiratory Therapist, Certified: Patient Transport-2278P4000X</v>
      </c>
    </row>
    <row r="784" spans="1:21" ht="30.75" x14ac:dyDescent="0.3">
      <c r="A784" s="21" t="s">
        <v>1135</v>
      </c>
      <c r="B784" s="21" t="str">
        <f>Table1[[#This Row],[Code]]&amp;" "&amp;Table1[[#This Row],[Portico_Specialty]]</f>
        <v>2278P1004X Respiratory Therapist, Certified: Pulmonary Diagnostics</v>
      </c>
      <c r="C784" s="21" t="str">
        <f>CLEAN(Table1[[#This Row],[Code]])</f>
        <v>2278P1004X</v>
      </c>
      <c r="D784" s="1" t="s">
        <v>1136</v>
      </c>
      <c r="E784" s="1"/>
      <c r="F784" s="1" t="s">
        <v>2587</v>
      </c>
      <c r="G784" s="3" t="s">
        <v>2588</v>
      </c>
      <c r="H784" s="1" t="s">
        <v>2600</v>
      </c>
      <c r="I784" s="1"/>
      <c r="J784" s="1" t="s">
        <v>2600</v>
      </c>
      <c r="K784" s="1" t="s">
        <v>2601</v>
      </c>
      <c r="L784" s="1" t="s">
        <v>2600</v>
      </c>
      <c r="M784" s="1" t="s">
        <v>2600</v>
      </c>
      <c r="N784" s="1" t="s">
        <v>2600</v>
      </c>
      <c r="O784" s="1" t="s">
        <v>2601</v>
      </c>
      <c r="P784" s="9"/>
      <c r="R784" s="16">
        <f ca="1">IF(ISNUMBER(SEARCH(INDIRECT(CELL("address")),S784)),MAX($R$1:R783)+1,0)</f>
        <v>783</v>
      </c>
      <c r="S784" s="18" t="str">
        <f>Table1[[#This Row],[Portico_Specialty]]&amp;"-"&amp;Table1[[#This Row],[Code]]</f>
        <v>Respiratory Therapist, Certified: Pulmonary Diagnostics-2278P1004X</v>
      </c>
      <c r="U784" s="16" t="str">
        <f ca="1">IFERROR(VLOOKUP(ROWS($U$1:U783),$R$2:$S$918,2,FALSE),"")</f>
        <v>Respiratory Therapist, Certified: Pulmonary Diagnostics-2278P1004X</v>
      </c>
    </row>
    <row r="785" spans="1:21" ht="30.75" x14ac:dyDescent="0.3">
      <c r="A785" s="21" t="s">
        <v>1139</v>
      </c>
      <c r="B785" s="21" t="str">
        <f>Table1[[#This Row],[Code]]&amp;" "&amp;Table1[[#This Row],[Portico_Specialty]]</f>
        <v>2278P1006X Respiratory Therapist, Certified: Pulmonary Function Technologist</v>
      </c>
      <c r="C785" s="21" t="str">
        <f>CLEAN(Table1[[#This Row],[Code]])</f>
        <v>2278P1006X</v>
      </c>
      <c r="D785" s="1" t="s">
        <v>1140</v>
      </c>
      <c r="E785" s="1"/>
      <c r="F785" s="1" t="s">
        <v>2587</v>
      </c>
      <c r="G785" s="3" t="s">
        <v>2588</v>
      </c>
      <c r="H785" s="1" t="s">
        <v>2600</v>
      </c>
      <c r="I785" s="1"/>
      <c r="J785" s="1" t="s">
        <v>2600</v>
      </c>
      <c r="K785" s="1" t="s">
        <v>2601</v>
      </c>
      <c r="L785" s="1" t="s">
        <v>2600</v>
      </c>
      <c r="M785" s="1" t="s">
        <v>2600</v>
      </c>
      <c r="N785" s="1" t="s">
        <v>2600</v>
      </c>
      <c r="O785" s="1" t="s">
        <v>2601</v>
      </c>
      <c r="P785" s="9"/>
      <c r="R785" s="16">
        <f ca="1">IF(ISNUMBER(SEARCH(INDIRECT(CELL("address")),S785)),MAX($R$1:R784)+1,0)</f>
        <v>784</v>
      </c>
      <c r="S785" s="18" t="str">
        <f>Table1[[#This Row],[Portico_Specialty]]&amp;"-"&amp;Table1[[#This Row],[Code]]</f>
        <v>Respiratory Therapist, Certified: Pulmonary Function Technologist-2278P1006X</v>
      </c>
      <c r="U785" s="16" t="str">
        <f ca="1">IFERROR(VLOOKUP(ROWS($U$1:U784),$R$2:$S$918,2,FALSE),"")</f>
        <v>Respiratory Therapist, Certified: Pulmonary Function Technologist-2278P1006X</v>
      </c>
    </row>
    <row r="786" spans="1:21" ht="30.75" x14ac:dyDescent="0.3">
      <c r="A786" s="21" t="s">
        <v>1137</v>
      </c>
      <c r="B786" s="21" t="str">
        <f>Table1[[#This Row],[Code]]&amp;" "&amp;Table1[[#This Row],[Portico_Specialty]]</f>
        <v>2278P1005X Respiratory Therapist, Certified: Pulmonary Rehabilitation</v>
      </c>
      <c r="C786" s="21" t="str">
        <f>CLEAN(Table1[[#This Row],[Code]])</f>
        <v>2278P1005X</v>
      </c>
      <c r="D786" s="1" t="s">
        <v>1138</v>
      </c>
      <c r="E786" s="1"/>
      <c r="F786" s="1" t="s">
        <v>2587</v>
      </c>
      <c r="G786" s="3" t="s">
        <v>2588</v>
      </c>
      <c r="H786" s="1" t="s">
        <v>2600</v>
      </c>
      <c r="I786" s="1"/>
      <c r="J786" s="1" t="s">
        <v>2600</v>
      </c>
      <c r="K786" s="1" t="s">
        <v>2601</v>
      </c>
      <c r="L786" s="1" t="s">
        <v>2600</v>
      </c>
      <c r="M786" s="1" t="s">
        <v>2600</v>
      </c>
      <c r="N786" s="1" t="s">
        <v>2600</v>
      </c>
      <c r="O786" s="1" t="s">
        <v>2601</v>
      </c>
      <c r="P786" s="9"/>
      <c r="R786" s="16">
        <f ca="1">IF(ISNUMBER(SEARCH(INDIRECT(CELL("address")),S786)),MAX($R$1:R785)+1,0)</f>
        <v>785</v>
      </c>
      <c r="S786" s="18" t="str">
        <f>Table1[[#This Row],[Portico_Specialty]]&amp;"-"&amp;Table1[[#This Row],[Code]]</f>
        <v>Respiratory Therapist, Certified: Pulmonary Rehabilitation-2278P1005X</v>
      </c>
      <c r="U786" s="16" t="str">
        <f ca="1">IFERROR(VLOOKUP(ROWS($U$1:U785),$R$2:$S$918,2,FALSE),"")</f>
        <v>Respiratory Therapist, Certified: Pulmonary Rehabilitation-2278P1005X</v>
      </c>
    </row>
    <row r="787" spans="1:21" ht="30.75" x14ac:dyDescent="0.3">
      <c r="A787" s="21" t="s">
        <v>1147</v>
      </c>
      <c r="B787" s="21" t="str">
        <f>Table1[[#This Row],[Code]]&amp;" "&amp;Table1[[#This Row],[Portico_Specialty]]</f>
        <v>2278S1500X Respiratory Therapist, Certified: SNF/Subacute Care</v>
      </c>
      <c r="C787" s="21" t="str">
        <f>CLEAN(Table1[[#This Row],[Code]])</f>
        <v>2278S1500X</v>
      </c>
      <c r="D787" s="1" t="s">
        <v>1148</v>
      </c>
      <c r="E787" s="1"/>
      <c r="F787" s="1" t="s">
        <v>2587</v>
      </c>
      <c r="G787" s="3" t="s">
        <v>2588</v>
      </c>
      <c r="H787" s="1" t="s">
        <v>2600</v>
      </c>
      <c r="I787" s="1"/>
      <c r="J787" s="1" t="s">
        <v>2600</v>
      </c>
      <c r="K787" s="1" t="s">
        <v>2601</v>
      </c>
      <c r="L787" s="1" t="s">
        <v>2600</v>
      </c>
      <c r="M787" s="1" t="s">
        <v>2600</v>
      </c>
      <c r="N787" s="1" t="s">
        <v>2600</v>
      </c>
      <c r="O787" s="1" t="s">
        <v>2601</v>
      </c>
      <c r="P787" s="9"/>
      <c r="R787" s="16">
        <f ca="1">IF(ISNUMBER(SEARCH(INDIRECT(CELL("address")),S787)),MAX($R$1:R786)+1,0)</f>
        <v>786</v>
      </c>
      <c r="S787" s="18" t="str">
        <f>Table1[[#This Row],[Portico_Specialty]]&amp;"-"&amp;Table1[[#This Row],[Code]]</f>
        <v>Respiratory Therapist, Certified: SNF/Subacute Care-2278S1500X</v>
      </c>
      <c r="U787" s="16" t="str">
        <f ca="1">IFERROR(VLOOKUP(ROWS($U$1:U786),$R$2:$S$918,2,FALSE),"")</f>
        <v>Respiratory Therapist, Certified: SNF/Subacute Care-2278S1500X</v>
      </c>
    </row>
    <row r="788" spans="1:21" x14ac:dyDescent="0.3">
      <c r="A788" s="21" t="s">
        <v>1149</v>
      </c>
      <c r="B788" s="21" t="str">
        <f>Table1[[#This Row],[Code]]&amp;" "&amp;Table1[[#This Row],[Portico_Specialty]]</f>
        <v>227900000X Respiratory Therapist, Registered</v>
      </c>
      <c r="C788" s="21" t="str">
        <f>CLEAN(Table1[[#This Row],[Code]])</f>
        <v>227900000X</v>
      </c>
      <c r="D788" s="1" t="s">
        <v>1150</v>
      </c>
      <c r="E788" s="1"/>
      <c r="F788" s="1" t="s">
        <v>2587</v>
      </c>
      <c r="G788" s="3" t="s">
        <v>2588</v>
      </c>
      <c r="H788" s="1" t="s">
        <v>2600</v>
      </c>
      <c r="I788" s="1"/>
      <c r="J788" s="1" t="s">
        <v>2600</v>
      </c>
      <c r="K788" s="1" t="s">
        <v>2601</v>
      </c>
      <c r="L788" s="1" t="s">
        <v>2600</v>
      </c>
      <c r="M788" s="1" t="s">
        <v>2600</v>
      </c>
      <c r="N788" s="1" t="s">
        <v>2600</v>
      </c>
      <c r="O788" s="1" t="s">
        <v>2601</v>
      </c>
      <c r="P788" s="9"/>
      <c r="R788" s="16">
        <f ca="1">IF(ISNUMBER(SEARCH(INDIRECT(CELL("address")),S788)),MAX($R$1:R787)+1,0)</f>
        <v>787</v>
      </c>
      <c r="S788" s="18" t="str">
        <f>Table1[[#This Row],[Portico_Specialty]]&amp;"-"&amp;Table1[[#This Row],[Code]]</f>
        <v>Respiratory Therapist, Registered-227900000X</v>
      </c>
      <c r="U788" s="16" t="str">
        <f ca="1">IFERROR(VLOOKUP(ROWS($U$1:U787),$R$2:$S$918,2,FALSE),"")</f>
        <v>Respiratory Therapist, Registered-227900000X</v>
      </c>
    </row>
    <row r="789" spans="1:21" ht="30.75" x14ac:dyDescent="0.3">
      <c r="A789" s="21" t="s">
        <v>1151</v>
      </c>
      <c r="B789" s="21" t="str">
        <f>Table1[[#This Row],[Code]]&amp;" "&amp;Table1[[#This Row],[Portico_Specialty]]</f>
        <v>2279C0205X Respiratory Therapist, Registered: Critical Care</v>
      </c>
      <c r="C789" s="21" t="str">
        <f>CLEAN(Table1[[#This Row],[Code]])</f>
        <v>2279C0205X</v>
      </c>
      <c r="D789" s="1" t="s">
        <v>1152</v>
      </c>
      <c r="E789" s="1"/>
      <c r="F789" s="1" t="s">
        <v>2587</v>
      </c>
      <c r="G789" s="3" t="s">
        <v>2588</v>
      </c>
      <c r="H789" s="1" t="s">
        <v>2600</v>
      </c>
      <c r="I789" s="1"/>
      <c r="J789" s="1" t="s">
        <v>2600</v>
      </c>
      <c r="K789" s="1" t="s">
        <v>2601</v>
      </c>
      <c r="L789" s="1" t="s">
        <v>2600</v>
      </c>
      <c r="M789" s="1" t="s">
        <v>2600</v>
      </c>
      <c r="N789" s="1" t="s">
        <v>2861</v>
      </c>
      <c r="O789" s="1" t="s">
        <v>2601</v>
      </c>
      <c r="P789" s="9"/>
      <c r="R789" s="16">
        <f ca="1">IF(ISNUMBER(SEARCH(INDIRECT(CELL("address")),S789)),MAX($R$1:R788)+1,0)</f>
        <v>788</v>
      </c>
      <c r="S789" s="18" t="str">
        <f>Table1[[#This Row],[Portico_Specialty]]&amp;"-"&amp;Table1[[#This Row],[Code]]</f>
        <v>Respiratory Therapist, Registered: Critical Care-2279C0205X</v>
      </c>
      <c r="U789" s="16" t="str">
        <f ca="1">IFERROR(VLOOKUP(ROWS($U$1:U788),$R$2:$S$918,2,FALSE),"")</f>
        <v>Respiratory Therapist, Registered: Critical Care-2279C0205X</v>
      </c>
    </row>
    <row r="790" spans="1:21" ht="30.75" x14ac:dyDescent="0.3">
      <c r="A790" s="21" t="s">
        <v>1155</v>
      </c>
      <c r="B790" s="21" t="str">
        <f>Table1[[#This Row],[Code]]&amp;" "&amp;Table1[[#This Row],[Portico_Specialty]]</f>
        <v>2279E1000X Respiratory Therapist, Registered: Educational</v>
      </c>
      <c r="C790" s="21" t="str">
        <f>CLEAN(Table1[[#This Row],[Code]])</f>
        <v>2279E1000X</v>
      </c>
      <c r="D790" s="1" t="s">
        <v>1156</v>
      </c>
      <c r="E790" s="1"/>
      <c r="F790" s="1" t="s">
        <v>2587</v>
      </c>
      <c r="G790" s="3" t="s">
        <v>2588</v>
      </c>
      <c r="H790" s="1" t="s">
        <v>2600</v>
      </c>
      <c r="I790" s="1"/>
      <c r="J790" s="1" t="s">
        <v>2600</v>
      </c>
      <c r="K790" s="1" t="s">
        <v>2601</v>
      </c>
      <c r="L790" s="1" t="s">
        <v>2600</v>
      </c>
      <c r="M790" s="1" t="s">
        <v>2600</v>
      </c>
      <c r="N790" s="1" t="s">
        <v>2861</v>
      </c>
      <c r="O790" s="1" t="s">
        <v>2601</v>
      </c>
      <c r="P790" s="9"/>
      <c r="R790" s="16">
        <f ca="1">IF(ISNUMBER(SEARCH(INDIRECT(CELL("address")),S790)),MAX($R$1:R789)+1,0)</f>
        <v>789</v>
      </c>
      <c r="S790" s="18" t="str">
        <f>Table1[[#This Row],[Portico_Specialty]]&amp;"-"&amp;Table1[[#This Row],[Code]]</f>
        <v>Respiratory Therapist, Registered: Educational-2279E1000X</v>
      </c>
      <c r="U790" s="16" t="str">
        <f ca="1">IFERROR(VLOOKUP(ROWS($U$1:U789),$R$2:$S$918,2,FALSE),"")</f>
        <v>Respiratory Therapist, Registered: Educational-2279E1000X</v>
      </c>
    </row>
    <row r="791" spans="1:21" ht="30.75" x14ac:dyDescent="0.3">
      <c r="A791" s="21" t="s">
        <v>1153</v>
      </c>
      <c r="B791" s="21" t="str">
        <f>Table1[[#This Row],[Code]]&amp;" "&amp;Table1[[#This Row],[Portico_Specialty]]</f>
        <v>2279E0002X Respiratory Therapist, Registered: Emergency Care</v>
      </c>
      <c r="C791" s="21" t="str">
        <f>CLEAN(Table1[[#This Row],[Code]])</f>
        <v>2279E0002X</v>
      </c>
      <c r="D791" s="1" t="s">
        <v>1154</v>
      </c>
      <c r="E791" s="1"/>
      <c r="F791" s="1" t="s">
        <v>2587</v>
      </c>
      <c r="G791" s="3" t="s">
        <v>2588</v>
      </c>
      <c r="H791" s="1" t="s">
        <v>2600</v>
      </c>
      <c r="I791" s="1"/>
      <c r="J791" s="1" t="s">
        <v>2600</v>
      </c>
      <c r="K791" s="1" t="s">
        <v>2601</v>
      </c>
      <c r="L791" s="1" t="s">
        <v>2600</v>
      </c>
      <c r="M791" s="1" t="s">
        <v>2600</v>
      </c>
      <c r="N791" s="1" t="s">
        <v>2861</v>
      </c>
      <c r="O791" s="1" t="s">
        <v>2601</v>
      </c>
      <c r="P791" s="9"/>
      <c r="R791" s="16">
        <f ca="1">IF(ISNUMBER(SEARCH(INDIRECT(CELL("address")),S791)),MAX($R$1:R790)+1,0)</f>
        <v>790</v>
      </c>
      <c r="S791" s="18" t="str">
        <f>Table1[[#This Row],[Portico_Specialty]]&amp;"-"&amp;Table1[[#This Row],[Code]]</f>
        <v>Respiratory Therapist, Registered: Emergency Care-2279E0002X</v>
      </c>
      <c r="U791" s="16" t="str">
        <f ca="1">IFERROR(VLOOKUP(ROWS($U$1:U790),$R$2:$S$918,2,FALSE),"")</f>
        <v>Respiratory Therapist, Registered: Emergency Care-2279E0002X</v>
      </c>
    </row>
    <row r="792" spans="1:21" ht="30.75" x14ac:dyDescent="0.3">
      <c r="A792" s="21" t="s">
        <v>1159</v>
      </c>
      <c r="B792" s="21" t="str">
        <f>Table1[[#This Row],[Code]]&amp;" "&amp;Table1[[#This Row],[Portico_Specialty]]</f>
        <v>2279G1100X Respiratory Therapist, Registered: General Care</v>
      </c>
      <c r="C792" s="21" t="str">
        <f>CLEAN(Table1[[#This Row],[Code]])</f>
        <v>2279G1100X</v>
      </c>
      <c r="D792" s="1" t="s">
        <v>1160</v>
      </c>
      <c r="E792" s="1"/>
      <c r="F792" s="1" t="s">
        <v>2587</v>
      </c>
      <c r="G792" s="3" t="s">
        <v>2588</v>
      </c>
      <c r="H792" s="1" t="s">
        <v>2600</v>
      </c>
      <c r="I792" s="1"/>
      <c r="J792" s="1" t="s">
        <v>2600</v>
      </c>
      <c r="K792" s="1" t="s">
        <v>2601</v>
      </c>
      <c r="L792" s="1" t="s">
        <v>2600</v>
      </c>
      <c r="M792" s="1" t="s">
        <v>2600</v>
      </c>
      <c r="N792" s="1" t="s">
        <v>2861</v>
      </c>
      <c r="O792" s="1" t="s">
        <v>2601</v>
      </c>
      <c r="P792" s="9"/>
      <c r="R792" s="16">
        <f ca="1">IF(ISNUMBER(SEARCH(INDIRECT(CELL("address")),S792)),MAX($R$1:R791)+1,0)</f>
        <v>791</v>
      </c>
      <c r="S792" s="18" t="str">
        <f>Table1[[#This Row],[Portico_Specialty]]&amp;"-"&amp;Table1[[#This Row],[Code]]</f>
        <v>Respiratory Therapist, Registered: General Care-2279G1100X</v>
      </c>
      <c r="U792" s="16" t="str">
        <f ca="1">IFERROR(VLOOKUP(ROWS($U$1:U791),$R$2:$S$918,2,FALSE),"")</f>
        <v>Respiratory Therapist, Registered: General Care-2279G1100X</v>
      </c>
    </row>
    <row r="793" spans="1:21" ht="30.75" x14ac:dyDescent="0.3">
      <c r="A793" s="21" t="s">
        <v>1157</v>
      </c>
      <c r="B793" s="21" t="str">
        <f>Table1[[#This Row],[Code]]&amp;" "&amp;Table1[[#This Row],[Portico_Specialty]]</f>
        <v>2279G0305X Respiratory Therapist, Registered: Geriatric Care</v>
      </c>
      <c r="C793" s="21" t="str">
        <f>CLEAN(Table1[[#This Row],[Code]])</f>
        <v>2279G0305X</v>
      </c>
      <c r="D793" s="1" t="s">
        <v>1158</v>
      </c>
      <c r="E793" s="1"/>
      <c r="F793" s="1" t="s">
        <v>2587</v>
      </c>
      <c r="G793" s="3" t="s">
        <v>2588</v>
      </c>
      <c r="H793" s="1" t="s">
        <v>2600</v>
      </c>
      <c r="I793" s="1"/>
      <c r="J793" s="1" t="s">
        <v>2600</v>
      </c>
      <c r="K793" s="1" t="s">
        <v>2601</v>
      </c>
      <c r="L793" s="1" t="s">
        <v>2600</v>
      </c>
      <c r="M793" s="1" t="s">
        <v>2600</v>
      </c>
      <c r="N793" s="1" t="s">
        <v>2861</v>
      </c>
      <c r="O793" s="1" t="s">
        <v>2601</v>
      </c>
      <c r="P793" s="9"/>
      <c r="R793" s="16">
        <f ca="1">IF(ISNUMBER(SEARCH(INDIRECT(CELL("address")),S793)),MAX($R$1:R792)+1,0)</f>
        <v>792</v>
      </c>
      <c r="S793" s="18" t="str">
        <f>Table1[[#This Row],[Portico_Specialty]]&amp;"-"&amp;Table1[[#This Row],[Code]]</f>
        <v>Respiratory Therapist, Registered: Geriatric Care-2279G0305X</v>
      </c>
      <c r="U793" s="16" t="str">
        <f ca="1">IFERROR(VLOOKUP(ROWS($U$1:U792),$R$2:$S$918,2,FALSE),"")</f>
        <v>Respiratory Therapist, Registered: Geriatric Care-2279G0305X</v>
      </c>
    </row>
    <row r="794" spans="1:21" ht="30.75" x14ac:dyDescent="0.3">
      <c r="A794" s="21" t="s">
        <v>1161</v>
      </c>
      <c r="B794" s="21" t="str">
        <f>Table1[[#This Row],[Code]]&amp;" "&amp;Table1[[#This Row],[Portico_Specialty]]</f>
        <v>2279H0200X Respiratory Therapist, Registered: Home Health</v>
      </c>
      <c r="C794" s="21" t="str">
        <f>CLEAN(Table1[[#This Row],[Code]])</f>
        <v>2279H0200X</v>
      </c>
      <c r="D794" s="1" t="s">
        <v>1162</v>
      </c>
      <c r="E794" s="1"/>
      <c r="F794" s="1" t="s">
        <v>2587</v>
      </c>
      <c r="G794" s="3" t="s">
        <v>2588</v>
      </c>
      <c r="H794" s="1" t="s">
        <v>2600</v>
      </c>
      <c r="I794" s="1"/>
      <c r="J794" s="1" t="s">
        <v>2600</v>
      </c>
      <c r="K794" s="1" t="s">
        <v>2601</v>
      </c>
      <c r="L794" s="1" t="s">
        <v>2600</v>
      </c>
      <c r="M794" s="1" t="s">
        <v>2600</v>
      </c>
      <c r="N794" s="1" t="s">
        <v>2861</v>
      </c>
      <c r="O794" s="1" t="s">
        <v>2601</v>
      </c>
      <c r="P794" s="9"/>
      <c r="R794" s="16">
        <f ca="1">IF(ISNUMBER(SEARCH(INDIRECT(CELL("address")),S794)),MAX($R$1:R793)+1,0)</f>
        <v>793</v>
      </c>
      <c r="S794" s="18" t="str">
        <f>Table1[[#This Row],[Portico_Specialty]]&amp;"-"&amp;Table1[[#This Row],[Code]]</f>
        <v>Respiratory Therapist, Registered: Home Health-2279H0200X</v>
      </c>
      <c r="U794" s="16" t="str">
        <f ca="1">IFERROR(VLOOKUP(ROWS($U$1:U793),$R$2:$S$918,2,FALSE),"")</f>
        <v>Respiratory Therapist, Registered: Home Health-2279H0200X</v>
      </c>
    </row>
    <row r="795" spans="1:21" ht="30.75" x14ac:dyDescent="0.3">
      <c r="A795" s="21" t="s">
        <v>1171</v>
      </c>
      <c r="B795" s="21" t="str">
        <f>Table1[[#This Row],[Code]]&amp;" "&amp;Table1[[#This Row],[Portico_Specialty]]</f>
        <v>2279P3900X Respiratory Therapist, Registered: Neonatal/Pediatrics</v>
      </c>
      <c r="C795" s="21" t="str">
        <f>CLEAN(Table1[[#This Row],[Code]])</f>
        <v>2279P3900X</v>
      </c>
      <c r="D795" s="1" t="s">
        <v>1172</v>
      </c>
      <c r="E795" s="1"/>
      <c r="F795" s="1" t="s">
        <v>2587</v>
      </c>
      <c r="G795" s="3" t="s">
        <v>2588</v>
      </c>
      <c r="H795" s="1" t="s">
        <v>2600</v>
      </c>
      <c r="I795" s="1"/>
      <c r="J795" s="1" t="s">
        <v>2600</v>
      </c>
      <c r="K795" s="1" t="s">
        <v>2601</v>
      </c>
      <c r="L795" s="1" t="s">
        <v>2600</v>
      </c>
      <c r="M795" s="1" t="s">
        <v>2600</v>
      </c>
      <c r="N795" s="1" t="s">
        <v>2707</v>
      </c>
      <c r="O795" s="1" t="s">
        <v>2601</v>
      </c>
      <c r="P795" s="9"/>
      <c r="R795" s="16">
        <f ca="1">IF(ISNUMBER(SEARCH(INDIRECT(CELL("address")),S795)),MAX($R$1:R794)+1,0)</f>
        <v>794</v>
      </c>
      <c r="S795" s="18" t="str">
        <f>Table1[[#This Row],[Portico_Specialty]]&amp;"-"&amp;Table1[[#This Row],[Code]]</f>
        <v>Respiratory Therapist, Registered: Neonatal/Pediatrics-2279P3900X</v>
      </c>
      <c r="U795" s="16" t="str">
        <f ca="1">IFERROR(VLOOKUP(ROWS($U$1:U794),$R$2:$S$918,2,FALSE),"")</f>
        <v>Respiratory Therapist, Registered: Neonatal/Pediatrics-2279P3900X</v>
      </c>
    </row>
    <row r="796" spans="1:21" ht="30.75" x14ac:dyDescent="0.3">
      <c r="A796" s="21" t="s">
        <v>1169</v>
      </c>
      <c r="B796" s="21" t="str">
        <f>Table1[[#This Row],[Code]]&amp;" "&amp;Table1[[#This Row],[Portico_Specialty]]</f>
        <v>2279P3800X Respiratory Therapist, Registered: Palliative/Hospice</v>
      </c>
      <c r="C796" s="21" t="str">
        <f>CLEAN(Table1[[#This Row],[Code]])</f>
        <v>2279P3800X</v>
      </c>
      <c r="D796" s="1" t="s">
        <v>1170</v>
      </c>
      <c r="E796" s="1"/>
      <c r="F796" s="1" t="s">
        <v>2587</v>
      </c>
      <c r="G796" s="3" t="s">
        <v>2588</v>
      </c>
      <c r="H796" s="1" t="s">
        <v>2600</v>
      </c>
      <c r="I796" s="1"/>
      <c r="J796" s="1" t="s">
        <v>2600</v>
      </c>
      <c r="K796" s="1" t="s">
        <v>2601</v>
      </c>
      <c r="L796" s="1" t="s">
        <v>2600</v>
      </c>
      <c r="M796" s="1" t="s">
        <v>2600</v>
      </c>
      <c r="N796" s="1" t="s">
        <v>2861</v>
      </c>
      <c r="O796" s="1" t="s">
        <v>2601</v>
      </c>
      <c r="P796" s="9"/>
      <c r="R796" s="16">
        <f ca="1">IF(ISNUMBER(SEARCH(INDIRECT(CELL("address")),S796)),MAX($R$1:R795)+1,0)</f>
        <v>795</v>
      </c>
      <c r="S796" s="18" t="str">
        <f>Table1[[#This Row],[Portico_Specialty]]&amp;"-"&amp;Table1[[#This Row],[Code]]</f>
        <v>Respiratory Therapist, Registered: Palliative/Hospice-2279P3800X</v>
      </c>
      <c r="U796" s="16" t="str">
        <f ca="1">IFERROR(VLOOKUP(ROWS($U$1:U795),$R$2:$S$918,2,FALSE),"")</f>
        <v>Respiratory Therapist, Registered: Palliative/Hospice-2279P3800X</v>
      </c>
    </row>
    <row r="797" spans="1:21" ht="30.75" x14ac:dyDescent="0.3">
      <c r="A797" s="21" t="s">
        <v>1173</v>
      </c>
      <c r="B797" s="21" t="str">
        <f>Table1[[#This Row],[Code]]&amp;" "&amp;Table1[[#This Row],[Portico_Specialty]]</f>
        <v>2279P4000X Respiratory Therapist, Registered: Patient Transport</v>
      </c>
      <c r="C797" s="21" t="str">
        <f>CLEAN(Table1[[#This Row],[Code]])</f>
        <v>2279P4000X</v>
      </c>
      <c r="D797" s="1" t="s">
        <v>1174</v>
      </c>
      <c r="E797" s="1"/>
      <c r="F797" s="1" t="s">
        <v>2587</v>
      </c>
      <c r="G797" s="3" t="s">
        <v>2588</v>
      </c>
      <c r="H797" s="1" t="s">
        <v>2600</v>
      </c>
      <c r="I797" s="1"/>
      <c r="J797" s="1" t="s">
        <v>2600</v>
      </c>
      <c r="K797" s="1" t="s">
        <v>2601</v>
      </c>
      <c r="L797" s="1" t="s">
        <v>2600</v>
      </c>
      <c r="M797" s="1" t="s">
        <v>2600</v>
      </c>
      <c r="N797" s="1" t="s">
        <v>2861</v>
      </c>
      <c r="O797" s="1" t="s">
        <v>2601</v>
      </c>
      <c r="P797" s="9"/>
      <c r="R797" s="16">
        <f ca="1">IF(ISNUMBER(SEARCH(INDIRECT(CELL("address")),S797)),MAX($R$1:R796)+1,0)</f>
        <v>796</v>
      </c>
      <c r="S797" s="18" t="str">
        <f>Table1[[#This Row],[Portico_Specialty]]&amp;"-"&amp;Table1[[#This Row],[Code]]</f>
        <v>Respiratory Therapist, Registered: Patient Transport-2279P4000X</v>
      </c>
      <c r="U797" s="16" t="str">
        <f ca="1">IFERROR(VLOOKUP(ROWS($U$1:U796),$R$2:$S$918,2,FALSE),"")</f>
        <v>Respiratory Therapist, Registered: Patient Transport-2279P4000X</v>
      </c>
    </row>
    <row r="798" spans="1:21" ht="30.75" x14ac:dyDescent="0.3">
      <c r="A798" s="21" t="s">
        <v>1163</v>
      </c>
      <c r="B798" s="21" t="str">
        <f>Table1[[#This Row],[Code]]&amp;" "&amp;Table1[[#This Row],[Portico_Specialty]]</f>
        <v>2279P1004X Respiratory Therapist, Registered: Pulmonary Diagnostics</v>
      </c>
      <c r="C798" s="21" t="str">
        <f>CLEAN(Table1[[#This Row],[Code]])</f>
        <v>2279P1004X</v>
      </c>
      <c r="D798" s="1" t="s">
        <v>1164</v>
      </c>
      <c r="E798" s="1"/>
      <c r="F798" s="1" t="s">
        <v>2587</v>
      </c>
      <c r="G798" s="3" t="s">
        <v>2588</v>
      </c>
      <c r="H798" s="1" t="s">
        <v>2600</v>
      </c>
      <c r="I798" s="1"/>
      <c r="J798" s="1" t="s">
        <v>2600</v>
      </c>
      <c r="K798" s="1" t="s">
        <v>2601</v>
      </c>
      <c r="L798" s="1" t="s">
        <v>2600</v>
      </c>
      <c r="M798" s="1" t="s">
        <v>2600</v>
      </c>
      <c r="N798" s="1" t="s">
        <v>2861</v>
      </c>
      <c r="O798" s="1" t="s">
        <v>2601</v>
      </c>
      <c r="P798" s="9"/>
      <c r="R798" s="16">
        <f ca="1">IF(ISNUMBER(SEARCH(INDIRECT(CELL("address")),S798)),MAX($R$1:R797)+1,0)</f>
        <v>797</v>
      </c>
      <c r="S798" s="18" t="str">
        <f>Table1[[#This Row],[Portico_Specialty]]&amp;"-"&amp;Table1[[#This Row],[Code]]</f>
        <v>Respiratory Therapist, Registered: Pulmonary Diagnostics-2279P1004X</v>
      </c>
      <c r="U798" s="16" t="str">
        <f ca="1">IFERROR(VLOOKUP(ROWS($U$1:U797),$R$2:$S$918,2,FALSE),"")</f>
        <v>Respiratory Therapist, Registered: Pulmonary Diagnostics-2279P1004X</v>
      </c>
    </row>
    <row r="799" spans="1:21" ht="30.75" x14ac:dyDescent="0.3">
      <c r="A799" s="21" t="s">
        <v>1167</v>
      </c>
      <c r="B799" s="21" t="str">
        <f>Table1[[#This Row],[Code]]&amp;" "&amp;Table1[[#This Row],[Portico_Specialty]]</f>
        <v>2279P1006X Respiratory Therapist, Registered: Pulmonary Function Technologist</v>
      </c>
      <c r="C799" s="21" t="str">
        <f>CLEAN(Table1[[#This Row],[Code]])</f>
        <v>2279P1006X</v>
      </c>
      <c r="D799" s="1" t="s">
        <v>1168</v>
      </c>
      <c r="E799" s="1"/>
      <c r="F799" s="1" t="s">
        <v>2587</v>
      </c>
      <c r="G799" s="3" t="s">
        <v>2588</v>
      </c>
      <c r="H799" s="1" t="s">
        <v>2600</v>
      </c>
      <c r="I799" s="1"/>
      <c r="J799" s="1" t="s">
        <v>2600</v>
      </c>
      <c r="K799" s="1" t="s">
        <v>2601</v>
      </c>
      <c r="L799" s="1" t="s">
        <v>2600</v>
      </c>
      <c r="M799" s="1" t="s">
        <v>2600</v>
      </c>
      <c r="N799" s="1" t="s">
        <v>2861</v>
      </c>
      <c r="O799" s="1" t="s">
        <v>2601</v>
      </c>
      <c r="P799" s="9"/>
      <c r="R799" s="16">
        <f ca="1">IF(ISNUMBER(SEARCH(INDIRECT(CELL("address")),S799)),MAX($R$1:R798)+1,0)</f>
        <v>798</v>
      </c>
      <c r="S799" s="18" t="str">
        <f>Table1[[#This Row],[Portico_Specialty]]&amp;"-"&amp;Table1[[#This Row],[Code]]</f>
        <v>Respiratory Therapist, Registered: Pulmonary Function Technologist-2279P1006X</v>
      </c>
      <c r="U799" s="16" t="str">
        <f ca="1">IFERROR(VLOOKUP(ROWS($U$1:U798),$R$2:$S$918,2,FALSE),"")</f>
        <v>Respiratory Therapist, Registered: Pulmonary Function Technologist-2279P1006X</v>
      </c>
    </row>
    <row r="800" spans="1:21" ht="30.75" x14ac:dyDescent="0.3">
      <c r="A800" s="21" t="s">
        <v>1165</v>
      </c>
      <c r="B800" s="21" t="str">
        <f>Table1[[#This Row],[Code]]&amp;" "&amp;Table1[[#This Row],[Portico_Specialty]]</f>
        <v>2279P1005X Respiratory Therapist, Registered: Pulmonary Rehabilitation</v>
      </c>
      <c r="C800" s="21" t="str">
        <f>CLEAN(Table1[[#This Row],[Code]])</f>
        <v>2279P1005X</v>
      </c>
      <c r="D800" s="1" t="s">
        <v>1166</v>
      </c>
      <c r="E800" s="1"/>
      <c r="F800" s="1" t="s">
        <v>2587</v>
      </c>
      <c r="G800" s="3" t="s">
        <v>2588</v>
      </c>
      <c r="H800" s="1" t="s">
        <v>2600</v>
      </c>
      <c r="I800" s="1"/>
      <c r="J800" s="1" t="s">
        <v>2600</v>
      </c>
      <c r="K800" s="1" t="s">
        <v>2601</v>
      </c>
      <c r="L800" s="1" t="s">
        <v>2600</v>
      </c>
      <c r="M800" s="1" t="s">
        <v>2600</v>
      </c>
      <c r="N800" s="1" t="s">
        <v>2861</v>
      </c>
      <c r="O800" s="1" t="s">
        <v>2601</v>
      </c>
      <c r="P800" s="9"/>
      <c r="R800" s="16">
        <f ca="1">IF(ISNUMBER(SEARCH(INDIRECT(CELL("address")),S800)),MAX($R$1:R799)+1,0)</f>
        <v>799</v>
      </c>
      <c r="S800" s="18" t="str">
        <f>Table1[[#This Row],[Portico_Specialty]]&amp;"-"&amp;Table1[[#This Row],[Code]]</f>
        <v>Respiratory Therapist, Registered: Pulmonary Rehabilitation-2279P1005X</v>
      </c>
      <c r="U800" s="16" t="str">
        <f ca="1">IFERROR(VLOOKUP(ROWS($U$1:U799),$R$2:$S$918,2,FALSE),"")</f>
        <v>Respiratory Therapist, Registered: Pulmonary Rehabilitation-2279P1005X</v>
      </c>
    </row>
    <row r="801" spans="1:21" ht="30.75" x14ac:dyDescent="0.3">
      <c r="A801" s="21" t="s">
        <v>1175</v>
      </c>
      <c r="B801" s="21" t="str">
        <f>Table1[[#This Row],[Code]]&amp;" "&amp;Table1[[#This Row],[Portico_Specialty]]</f>
        <v>2279S1500X Respiratory Therapist, Registered: SNF/Subacute Care</v>
      </c>
      <c r="C801" s="21" t="str">
        <f>CLEAN(Table1[[#This Row],[Code]])</f>
        <v>2279S1500X</v>
      </c>
      <c r="D801" s="1" t="s">
        <v>1176</v>
      </c>
      <c r="E801" s="1"/>
      <c r="F801" s="1" t="s">
        <v>2587</v>
      </c>
      <c r="G801" s="3" t="s">
        <v>2588</v>
      </c>
      <c r="H801" s="1" t="s">
        <v>2600</v>
      </c>
      <c r="I801" s="1"/>
      <c r="J801" s="1" t="s">
        <v>2600</v>
      </c>
      <c r="K801" s="1" t="s">
        <v>2601</v>
      </c>
      <c r="L801" s="1" t="s">
        <v>2600</v>
      </c>
      <c r="M801" s="1" t="s">
        <v>2600</v>
      </c>
      <c r="N801" s="1" t="s">
        <v>2861</v>
      </c>
      <c r="O801" s="1" t="s">
        <v>2601</v>
      </c>
      <c r="P801" s="9"/>
      <c r="R801" s="16">
        <f ca="1">IF(ISNUMBER(SEARCH(INDIRECT(CELL("address")),S801)),MAX($R$1:R800)+1,0)</f>
        <v>800</v>
      </c>
      <c r="S801" s="18" t="str">
        <f>Table1[[#This Row],[Portico_Specialty]]&amp;"-"&amp;Table1[[#This Row],[Code]]</f>
        <v>Respiratory Therapist, Registered: SNF/Subacute Care-2279S1500X</v>
      </c>
      <c r="U801" s="16" t="str">
        <f ca="1">IFERROR(VLOOKUP(ROWS($U$1:U800),$R$2:$S$918,2,FALSE),"")</f>
        <v>Respiratory Therapist, Registered: SNF/Subacute Care-2279S1500X</v>
      </c>
    </row>
    <row r="802" spans="1:21" x14ac:dyDescent="0.3">
      <c r="A802" s="21" t="s">
        <v>1827</v>
      </c>
      <c r="B802" s="21" t="str">
        <f>Table1[[#This Row],[Code]]&amp;" "&amp;Table1[[#This Row],[Portico_Specialty]]</f>
        <v>385H00000X Respite Care</v>
      </c>
      <c r="C802" s="21" t="str">
        <f>CLEAN(Table1[[#This Row],[Code]])</f>
        <v>385H00000X</v>
      </c>
      <c r="D802" s="1" t="s">
        <v>1828</v>
      </c>
      <c r="E802" s="1"/>
      <c r="F802" s="1" t="s">
        <v>2587</v>
      </c>
      <c r="G802" s="3" t="s">
        <v>2588</v>
      </c>
      <c r="H802" s="1" t="s">
        <v>2615</v>
      </c>
      <c r="I802" s="1"/>
      <c r="J802" s="1" t="s">
        <v>2590</v>
      </c>
      <c r="K802" s="1" t="s">
        <v>2590</v>
      </c>
      <c r="L802" s="1" t="s">
        <v>2615</v>
      </c>
      <c r="M802" s="1" t="s">
        <v>2615</v>
      </c>
      <c r="N802" s="1" t="s">
        <v>2615</v>
      </c>
      <c r="O802" s="1" t="s">
        <v>2590</v>
      </c>
      <c r="P802" s="9"/>
      <c r="R802" s="16">
        <f ca="1">IF(ISNUMBER(SEARCH(INDIRECT(CELL("address")),S802)),MAX($R$1:R801)+1,0)</f>
        <v>801</v>
      </c>
      <c r="S802" s="18" t="str">
        <f>Table1[[#This Row],[Portico_Specialty]]&amp;"-"&amp;Table1[[#This Row],[Code]]</f>
        <v>Respite Care-385H00000X</v>
      </c>
      <c r="U802" s="16" t="str">
        <f ca="1">IFERROR(VLOOKUP(ROWS($U$1:U801),$R$2:$S$918,2,FALSE),"")</f>
        <v>Respite Care-385H00000X</v>
      </c>
    </row>
    <row r="803" spans="1:21" x14ac:dyDescent="0.3">
      <c r="A803" s="21" t="s">
        <v>1829</v>
      </c>
      <c r="B803" s="21" t="str">
        <f>Table1[[#This Row],[Code]]&amp;" "&amp;Table1[[#This Row],[Portico_Specialty]]</f>
        <v>385HR2050X Respite Care: Respite Care Camp</v>
      </c>
      <c r="C803" s="21" t="str">
        <f>CLEAN(Table1[[#This Row],[Code]])</f>
        <v>385HR2050X</v>
      </c>
      <c r="D803" s="1" t="s">
        <v>1830</v>
      </c>
      <c r="E803" s="1"/>
      <c r="F803" s="1" t="s">
        <v>2587</v>
      </c>
      <c r="G803" s="3" t="s">
        <v>2588</v>
      </c>
      <c r="H803" s="1" t="s">
        <v>2615</v>
      </c>
      <c r="I803" s="1"/>
      <c r="J803" s="1" t="s">
        <v>2590</v>
      </c>
      <c r="K803" s="1" t="s">
        <v>2590</v>
      </c>
      <c r="L803" s="1" t="s">
        <v>2615</v>
      </c>
      <c r="M803" s="1" t="s">
        <v>2615</v>
      </c>
      <c r="N803" s="1"/>
      <c r="O803" s="1" t="s">
        <v>2590</v>
      </c>
      <c r="P803" s="9"/>
      <c r="R803" s="16">
        <f ca="1">IF(ISNUMBER(SEARCH(INDIRECT(CELL("address")),S803)),MAX($R$1:R802)+1,0)</f>
        <v>802</v>
      </c>
      <c r="S803" s="18" t="str">
        <f>Table1[[#This Row],[Portico_Specialty]]&amp;"-"&amp;Table1[[#This Row],[Code]]</f>
        <v>Respite Care: Respite Care Camp-385HR2050X</v>
      </c>
      <c r="U803" s="16" t="str">
        <f ca="1">IFERROR(VLOOKUP(ROWS($U$1:U802),$R$2:$S$918,2,FALSE),"")</f>
        <v>Respite Care: Respite Care Camp-385HR2050X</v>
      </c>
    </row>
    <row r="804" spans="1:21" ht="30.75" x14ac:dyDescent="0.3">
      <c r="A804" s="21" t="s">
        <v>1831</v>
      </c>
      <c r="B804" s="21" t="str">
        <f>Table1[[#This Row],[Code]]&amp;" "&amp;Table1[[#This Row],[Portico_Specialty]]</f>
        <v>385HR2055X Respite Care: Respite Care, Mental Illness, Child</v>
      </c>
      <c r="C804" s="21" t="str">
        <f>CLEAN(Table1[[#This Row],[Code]])</f>
        <v>385HR2055X</v>
      </c>
      <c r="D804" s="1" t="s">
        <v>1832</v>
      </c>
      <c r="E804" s="1"/>
      <c r="F804" s="1" t="s">
        <v>2587</v>
      </c>
      <c r="G804" s="3" t="s">
        <v>2588</v>
      </c>
      <c r="H804" s="1" t="s">
        <v>2615</v>
      </c>
      <c r="I804" s="1"/>
      <c r="J804" s="1" t="s">
        <v>2590</v>
      </c>
      <c r="K804" s="1" t="s">
        <v>2613</v>
      </c>
      <c r="L804" s="1" t="s">
        <v>2615</v>
      </c>
      <c r="M804" s="1" t="s">
        <v>2615</v>
      </c>
      <c r="N804" s="1"/>
      <c r="O804" s="1" t="s">
        <v>2613</v>
      </c>
      <c r="P804" s="9"/>
      <c r="R804" s="16">
        <f ca="1">IF(ISNUMBER(SEARCH(INDIRECT(CELL("address")),S804)),MAX($R$1:R803)+1,0)</f>
        <v>803</v>
      </c>
      <c r="S804" s="18" t="str">
        <f>Table1[[#This Row],[Portico_Specialty]]&amp;"-"&amp;Table1[[#This Row],[Code]]</f>
        <v>Respite Care: Respite Care, Mental Illness, Child-385HR2055X</v>
      </c>
      <c r="U804" s="16" t="str">
        <f ca="1">IFERROR(VLOOKUP(ROWS($U$1:U803),$R$2:$S$918,2,FALSE),"")</f>
        <v>Respite Care: Respite Care, Mental Illness, Child-385HR2055X</v>
      </c>
    </row>
    <row r="805" spans="1:21" ht="30.75" x14ac:dyDescent="0.3">
      <c r="A805" s="21" t="s">
        <v>1833</v>
      </c>
      <c r="B805" s="21" t="str">
        <f>Table1[[#This Row],[Code]]&amp;" "&amp;Table1[[#This Row],[Portico_Specialty]]</f>
        <v>385HR2060X Respite Care: Respite Care, Mental Retardation and/or Developmental Disabilities, Child</v>
      </c>
      <c r="C805" s="21" t="str">
        <f>CLEAN(Table1[[#This Row],[Code]])</f>
        <v>385HR2060X</v>
      </c>
      <c r="D805" s="1" t="s">
        <v>1834</v>
      </c>
      <c r="E805" s="1"/>
      <c r="F805" s="1" t="s">
        <v>2587</v>
      </c>
      <c r="G805" s="3" t="s">
        <v>2588</v>
      </c>
      <c r="H805" s="1" t="s">
        <v>2615</v>
      </c>
      <c r="I805" s="1"/>
      <c r="J805" s="1" t="s">
        <v>2590</v>
      </c>
      <c r="K805" s="1" t="s">
        <v>2613</v>
      </c>
      <c r="L805" s="1" t="s">
        <v>2615</v>
      </c>
      <c r="M805" s="1" t="s">
        <v>2615</v>
      </c>
      <c r="N805" s="1"/>
      <c r="O805" s="1" t="s">
        <v>2613</v>
      </c>
      <c r="P805" s="9"/>
      <c r="R805" s="16">
        <f ca="1">IF(ISNUMBER(SEARCH(INDIRECT(CELL("address")),S805)),MAX($R$1:R804)+1,0)</f>
        <v>804</v>
      </c>
      <c r="S805" s="18" t="str">
        <f>Table1[[#This Row],[Portico_Specialty]]&amp;"-"&amp;Table1[[#This Row],[Code]]</f>
        <v>Respite Care: Respite Care, Mental Retardation and/or Developmental Disabilities, Child-385HR2060X</v>
      </c>
      <c r="U805" s="16" t="str">
        <f ca="1">IFERROR(VLOOKUP(ROWS($U$1:U804),$R$2:$S$918,2,FALSE),"")</f>
        <v>Respite Care: Respite Care, Mental Retardation and/or Developmental Disabilities, Child-385HR2060X</v>
      </c>
    </row>
    <row r="806" spans="1:21" ht="30.75" x14ac:dyDescent="0.3">
      <c r="A806" s="21" t="s">
        <v>1835</v>
      </c>
      <c r="B806" s="21" t="str">
        <f>Table1[[#This Row],[Code]]&amp;" "&amp;Table1[[#This Row],[Portico_Specialty]]</f>
        <v>385HR2065X Respite Care: Respite Care, Physical Disabilities, Child</v>
      </c>
      <c r="C806" s="21" t="str">
        <f>CLEAN(Table1[[#This Row],[Code]])</f>
        <v>385HR2065X</v>
      </c>
      <c r="D806" s="1" t="s">
        <v>1836</v>
      </c>
      <c r="E806" s="1"/>
      <c r="F806" s="1" t="s">
        <v>2587</v>
      </c>
      <c r="G806" s="3" t="s">
        <v>2588</v>
      </c>
      <c r="H806" s="1" t="s">
        <v>2615</v>
      </c>
      <c r="I806" s="1"/>
      <c r="J806" s="1" t="s">
        <v>2590</v>
      </c>
      <c r="K806" s="1" t="s">
        <v>2590</v>
      </c>
      <c r="L806" s="1" t="s">
        <v>2615</v>
      </c>
      <c r="M806" s="1" t="s">
        <v>2615</v>
      </c>
      <c r="N806" s="1"/>
      <c r="O806" s="1" t="s">
        <v>2590</v>
      </c>
      <c r="P806" s="9"/>
      <c r="R806" s="16">
        <f ca="1">IF(ISNUMBER(SEARCH(INDIRECT(CELL("address")),S806)),MAX($R$1:R805)+1,0)</f>
        <v>805</v>
      </c>
      <c r="S806" s="18" t="str">
        <f>Table1[[#This Row],[Portico_Specialty]]&amp;"-"&amp;Table1[[#This Row],[Code]]</f>
        <v>Respite Care: Respite Care, Physical Disabilities, Child-385HR2065X</v>
      </c>
      <c r="U806" s="16" t="str">
        <f ca="1">IFERROR(VLOOKUP(ROWS($U$1:U805),$R$2:$S$918,2,FALSE),"")</f>
        <v>Respite Care: Respite Care, Physical Disabilities, Child-385HR2065X</v>
      </c>
    </row>
    <row r="807" spans="1:21" x14ac:dyDescent="0.3">
      <c r="A807" s="21" t="s">
        <v>1669</v>
      </c>
      <c r="B807" s="21" t="str">
        <f>Table1[[#This Row],[Code]]&amp;" "&amp;Table1[[#This Row],[Portico_Specialty]]</f>
        <v>343800000X Secured Medical Transport (VAN)</v>
      </c>
      <c r="C807" s="21" t="str">
        <f>CLEAN(Table1[[#This Row],[Code]])</f>
        <v>343800000X</v>
      </c>
      <c r="D807" s="1" t="s">
        <v>1670</v>
      </c>
      <c r="E807" s="1"/>
      <c r="F807" s="1" t="s">
        <v>2587</v>
      </c>
      <c r="G807" s="3" t="s">
        <v>2588</v>
      </c>
      <c r="H807" s="1" t="s">
        <v>2595</v>
      </c>
      <c r="I807" s="1"/>
      <c r="J807" s="1" t="s">
        <v>2595</v>
      </c>
      <c r="K807" s="1" t="s">
        <v>2596</v>
      </c>
      <c r="L807" s="1" t="s">
        <v>2595</v>
      </c>
      <c r="M807" s="1" t="s">
        <v>2595</v>
      </c>
      <c r="N807" s="1"/>
      <c r="O807" s="1" t="s">
        <v>2596</v>
      </c>
      <c r="P807" s="9"/>
      <c r="R807" s="16">
        <f ca="1">IF(ISNUMBER(SEARCH(INDIRECT(CELL("address")),S807)),MAX($R$1:R806)+1,0)</f>
        <v>806</v>
      </c>
      <c r="S807" s="18" t="str">
        <f>Table1[[#This Row],[Portico_Specialty]]&amp;"-"&amp;Table1[[#This Row],[Code]]</f>
        <v>Secured Medical Transport (VAN)-343800000X</v>
      </c>
      <c r="U807" s="16" t="str">
        <f ca="1">IFERROR(VLOOKUP(ROWS($U$1:U806),$R$2:$S$918,2,FALSE),"")</f>
        <v>Secured Medical Transport (VAN)-343800000X</v>
      </c>
    </row>
    <row r="808" spans="1:21" x14ac:dyDescent="0.3">
      <c r="A808" s="21" t="s">
        <v>541</v>
      </c>
      <c r="B808" s="21" t="str">
        <f>Table1[[#This Row],[Code]]&amp;" "&amp;Table1[[#This Row],[Portico_Specialty]]</f>
        <v>193400000X Single Specialty</v>
      </c>
      <c r="C808" s="21" t="str">
        <f>CLEAN(Table1[[#This Row],[Code]])</f>
        <v>193400000X</v>
      </c>
      <c r="D808" s="1" t="s">
        <v>542</v>
      </c>
      <c r="E808" s="1"/>
      <c r="F808" s="4" t="s">
        <v>2619</v>
      </c>
      <c r="G808" s="4" t="s">
        <v>2593</v>
      </c>
      <c r="H808" s="1"/>
      <c r="I808" s="1"/>
      <c r="J808" s="1" t="s">
        <v>2862</v>
      </c>
      <c r="K808" s="1" t="s">
        <v>2862</v>
      </c>
      <c r="L808" s="1"/>
      <c r="M808" s="1" t="s">
        <v>2621</v>
      </c>
      <c r="N808" s="1"/>
      <c r="O808" s="1" t="s">
        <v>2862</v>
      </c>
      <c r="P808" s="9"/>
      <c r="R808" s="16">
        <f ca="1">IF(ISNUMBER(SEARCH(INDIRECT(CELL("address")),S808)),MAX($R$1:R807)+1,0)</f>
        <v>807</v>
      </c>
      <c r="S808" s="18" t="str">
        <f>Table1[[#This Row],[Portico_Specialty]]&amp;"-"&amp;Table1[[#This Row],[Code]]</f>
        <v>Single Specialty-193400000X</v>
      </c>
      <c r="U808" s="16" t="str">
        <f ca="1">IFERROR(VLOOKUP(ROWS($U$1:U807),$R$2:$S$918,2,FALSE),"")</f>
        <v>Single Specialty-193400000X</v>
      </c>
    </row>
    <row r="809" spans="1:21" x14ac:dyDescent="0.3">
      <c r="A809" s="21" t="s">
        <v>1563</v>
      </c>
      <c r="B809" s="21" t="str">
        <f>Table1[[#This Row],[Code]]&amp;" "&amp;Table1[[#This Row],[Portico_Specialty]]</f>
        <v>314000000X Skilled Nursing Facility</v>
      </c>
      <c r="C809" s="21" t="str">
        <f>CLEAN(Table1[[#This Row],[Code]])</f>
        <v>314000000X</v>
      </c>
      <c r="D809" s="1" t="s">
        <v>1564</v>
      </c>
      <c r="E809" s="1"/>
      <c r="F809" s="1" t="s">
        <v>2587</v>
      </c>
      <c r="G809" s="4" t="s">
        <v>2593</v>
      </c>
      <c r="H809" s="1" t="s">
        <v>2598</v>
      </c>
      <c r="I809" s="1"/>
      <c r="J809" s="1" t="s">
        <v>2598</v>
      </c>
      <c r="K809" s="1" t="s">
        <v>2598</v>
      </c>
      <c r="L809" s="1" t="s">
        <v>2598</v>
      </c>
      <c r="M809" s="1" t="s">
        <v>2598</v>
      </c>
      <c r="N809" s="1" t="s">
        <v>2599</v>
      </c>
      <c r="O809" s="1" t="s">
        <v>2598</v>
      </c>
      <c r="P809" s="9"/>
      <c r="R809" s="16">
        <f ca="1">IF(ISNUMBER(SEARCH(INDIRECT(CELL("address")),S809)),MAX($R$1:R808)+1,0)</f>
        <v>808</v>
      </c>
      <c r="S809" s="18" t="str">
        <f>Table1[[#This Row],[Portico_Specialty]]&amp;"-"&amp;Table1[[#This Row],[Code]]</f>
        <v>Skilled Nursing Facility-314000000X</v>
      </c>
      <c r="U809" s="16" t="str">
        <f ca="1">IFERROR(VLOOKUP(ROWS($U$1:U808),$R$2:$S$918,2,FALSE),"")</f>
        <v>Skilled Nursing Facility-314000000X</v>
      </c>
    </row>
    <row r="810" spans="1:21" ht="30.75" x14ac:dyDescent="0.3">
      <c r="A810" s="21" t="s">
        <v>1565</v>
      </c>
      <c r="B810" s="21" t="str">
        <f>Table1[[#This Row],[Code]]&amp;" "&amp;Table1[[#This Row],[Portico_Specialty]]</f>
        <v>3140N1450X Skilled Nursing Facility: Nursing Care, Pediatric</v>
      </c>
      <c r="C810" s="21" t="str">
        <f>CLEAN(Table1[[#This Row],[Code]])</f>
        <v>3140N1450X</v>
      </c>
      <c r="D810" s="1" t="s">
        <v>1566</v>
      </c>
      <c r="E810" s="1"/>
      <c r="F810" s="1" t="s">
        <v>2587</v>
      </c>
      <c r="G810" s="3" t="s">
        <v>2588</v>
      </c>
      <c r="H810" s="1" t="s">
        <v>2598</v>
      </c>
      <c r="I810" s="1"/>
      <c r="J810" s="1" t="s">
        <v>2598</v>
      </c>
      <c r="K810" s="1" t="s">
        <v>2598</v>
      </c>
      <c r="L810" s="1" t="s">
        <v>2598</v>
      </c>
      <c r="M810" s="1" t="s">
        <v>2598</v>
      </c>
      <c r="N810" s="1" t="s">
        <v>2599</v>
      </c>
      <c r="O810" s="1" t="s">
        <v>2598</v>
      </c>
      <c r="P810" s="9"/>
      <c r="R810" s="16">
        <f ca="1">IF(ISNUMBER(SEARCH(INDIRECT(CELL("address")),S810)),MAX($R$1:R809)+1,0)</f>
        <v>809</v>
      </c>
      <c r="S810" s="18" t="str">
        <f>Table1[[#This Row],[Portico_Specialty]]&amp;"-"&amp;Table1[[#This Row],[Code]]</f>
        <v>Skilled Nursing Facility: Nursing Care, Pediatric-3140N1450X</v>
      </c>
      <c r="U810" s="16" t="str">
        <f ca="1">IFERROR(VLOOKUP(ROWS($U$1:U809),$R$2:$S$918,2,FALSE),"")</f>
        <v>Skilled Nursing Facility: Nursing Care, Pediatric-3140N1450X</v>
      </c>
    </row>
    <row r="811" spans="1:21" x14ac:dyDescent="0.3">
      <c r="A811" s="21" t="s">
        <v>475</v>
      </c>
      <c r="B811" s="21" t="str">
        <f>Table1[[#This Row],[Code]]&amp;" "&amp;Table1[[#This Row],[Portico_Specialty]]</f>
        <v>173F00000X Sleep Specialist, PhD</v>
      </c>
      <c r="C811" s="21" t="str">
        <f>CLEAN(Table1[[#This Row],[Code]])</f>
        <v>173F00000X</v>
      </c>
      <c r="D811" s="1" t="s">
        <v>476</v>
      </c>
      <c r="E811" s="1"/>
      <c r="F811" s="1" t="s">
        <v>2587</v>
      </c>
      <c r="G811" s="3" t="s">
        <v>2588</v>
      </c>
      <c r="H811" s="1" t="s">
        <v>2709</v>
      </c>
      <c r="I811" s="1"/>
      <c r="J811" s="1" t="s">
        <v>2590</v>
      </c>
      <c r="K811" s="1" t="s">
        <v>2709</v>
      </c>
      <c r="L811" s="1"/>
      <c r="M811" s="1"/>
      <c r="N811" s="1"/>
      <c r="O811" s="1" t="s">
        <v>2709</v>
      </c>
      <c r="P811" s="9"/>
      <c r="R811" s="16">
        <f ca="1">IF(ISNUMBER(SEARCH(INDIRECT(CELL("address")),S811)),MAX($R$1:R810)+1,0)</f>
        <v>810</v>
      </c>
      <c r="S811" s="18" t="str">
        <f>Table1[[#This Row],[Portico_Specialty]]&amp;"-"&amp;Table1[[#This Row],[Code]]</f>
        <v>Sleep Specialist, PhD-173F00000X</v>
      </c>
      <c r="U811" s="16" t="str">
        <f ca="1">IFERROR(VLOOKUP(ROWS($U$1:U810),$R$2:$S$918,2,FALSE),"")</f>
        <v>Sleep Specialist, PhD-173F00000X</v>
      </c>
    </row>
    <row r="812" spans="1:21" x14ac:dyDescent="0.3">
      <c r="A812" s="21" t="s">
        <v>188</v>
      </c>
      <c r="B812" s="21" t="str">
        <f>Table1[[#This Row],[Code]]&amp;" "&amp;Table1[[#This Row],[Portico_Specialty]]</f>
        <v>104100000X Social Worker</v>
      </c>
      <c r="C812" s="21" t="str">
        <f>CLEAN(Table1[[#This Row],[Code]])</f>
        <v>104100000X</v>
      </c>
      <c r="D812" s="1" t="s">
        <v>189</v>
      </c>
      <c r="E812" s="1"/>
      <c r="F812" s="1" t="s">
        <v>2607</v>
      </c>
      <c r="G812" s="3" t="s">
        <v>2588</v>
      </c>
      <c r="H812" s="1" t="s">
        <v>2612</v>
      </c>
      <c r="I812" s="1"/>
      <c r="J812" s="1" t="s">
        <v>2612</v>
      </c>
      <c r="K812" s="1" t="s">
        <v>2612</v>
      </c>
      <c r="L812" s="1" t="s">
        <v>2612</v>
      </c>
      <c r="M812" s="1" t="s">
        <v>2612</v>
      </c>
      <c r="N812" s="1" t="s">
        <v>2612</v>
      </c>
      <c r="O812" s="1" t="s">
        <v>2612</v>
      </c>
      <c r="P812" s="9"/>
      <c r="R812" s="16">
        <f ca="1">IF(ISNUMBER(SEARCH(INDIRECT(CELL("address")),S812)),MAX($R$1:R811)+1,0)</f>
        <v>811</v>
      </c>
      <c r="S812" s="18" t="str">
        <f>Table1[[#This Row],[Portico_Specialty]]&amp;"-"&amp;Table1[[#This Row],[Code]]</f>
        <v>Social Worker-104100000X</v>
      </c>
      <c r="U812" s="16" t="str">
        <f ca="1">IFERROR(VLOOKUP(ROWS($U$1:U811),$R$2:$S$918,2,FALSE),"")</f>
        <v>Social Worker-104100000X</v>
      </c>
    </row>
    <row r="813" spans="1:21" x14ac:dyDescent="0.3">
      <c r="A813" s="21" t="s">
        <v>2616</v>
      </c>
      <c r="B813" s="21" t="str">
        <f>Table1[[#This Row],[Code]]&amp;" "&amp;Table1[[#This Row],[Portico_Specialty]]</f>
        <v>AltSpec1 Social Worker Assistant - HCBS</v>
      </c>
      <c r="C813" s="21" t="str">
        <f>CLEAN(Table1[[#This Row],[Code]])</f>
        <v>AltSpec1</v>
      </c>
      <c r="D813" s="1" t="s">
        <v>2863</v>
      </c>
      <c r="E813" s="1"/>
      <c r="F813" s="1" t="s">
        <v>2587</v>
      </c>
      <c r="G813" s="3" t="s">
        <v>2588</v>
      </c>
      <c r="H813" s="1"/>
      <c r="I813" s="1"/>
      <c r="J813" s="1"/>
      <c r="K813" s="1" t="s">
        <v>2864</v>
      </c>
      <c r="L813" s="1"/>
      <c r="M813" s="1"/>
      <c r="N813" s="1"/>
      <c r="O813" s="1"/>
      <c r="P813" s="9"/>
      <c r="R813" s="16">
        <f ca="1">IF(ISNUMBER(SEARCH(INDIRECT(CELL("address")),S813)),MAX($R$1:R812)+1,0)</f>
        <v>812</v>
      </c>
      <c r="S813" s="18" t="str">
        <f>Table1[[#This Row],[Portico_Specialty]]&amp;"-"&amp;Table1[[#This Row],[Code]]</f>
        <v>Social Worker Assistant - HCBS-AltSpec1</v>
      </c>
      <c r="U813" s="16" t="str">
        <f ca="1">IFERROR(VLOOKUP(ROWS($U$1:U812),$R$2:$S$918,2,FALSE),"")</f>
        <v>Social Worker Assistant - HCBS-AltSpec1</v>
      </c>
    </row>
    <row r="814" spans="1:21" x14ac:dyDescent="0.3">
      <c r="A814" s="21" t="s">
        <v>2616</v>
      </c>
      <c r="B814" s="21" t="str">
        <f>Table1[[#This Row],[Code]]&amp;" "&amp;Table1[[#This Row],[Portico_Specialty]]</f>
        <v>AltSpec1 Social Worker Assistant Dual 399</v>
      </c>
      <c r="C814" s="21" t="str">
        <f>CLEAN(Table1[[#This Row],[Code]])</f>
        <v>AltSpec1</v>
      </c>
      <c r="D814" s="1" t="s">
        <v>2865</v>
      </c>
      <c r="E814" s="1"/>
      <c r="F814" s="1" t="s">
        <v>2587</v>
      </c>
      <c r="G814" s="3" t="s">
        <v>2588</v>
      </c>
      <c r="H814" s="1"/>
      <c r="I814" s="1"/>
      <c r="J814" s="1"/>
      <c r="K814" s="1" t="s">
        <v>2866</v>
      </c>
      <c r="L814" s="1"/>
      <c r="M814" s="1"/>
      <c r="N814" s="1"/>
      <c r="O814" s="1"/>
      <c r="P814" s="9"/>
      <c r="R814" s="16">
        <f ca="1">IF(ISNUMBER(SEARCH(INDIRECT(CELL("address")),S814)),MAX($R$1:R813)+1,0)</f>
        <v>813</v>
      </c>
      <c r="S814" s="18" t="str">
        <f>Table1[[#This Row],[Portico_Specialty]]&amp;"-"&amp;Table1[[#This Row],[Code]]</f>
        <v>Social Worker Assistant Dual 399-AltSpec1</v>
      </c>
      <c r="U814" s="16" t="str">
        <f ca="1">IFERROR(VLOOKUP(ROWS($U$1:U813),$R$2:$S$918,2,FALSE),"")</f>
        <v>Social Worker Assistant Dual 399-AltSpec1</v>
      </c>
    </row>
    <row r="815" spans="1:21" x14ac:dyDescent="0.3">
      <c r="A815" s="21" t="s">
        <v>2616</v>
      </c>
      <c r="B815" s="21" t="str">
        <f>Table1[[#This Row],[Code]]&amp;" "&amp;Table1[[#This Row],[Portico_Specialty]]</f>
        <v>AltSpec1 Social Worker Assistant Dual 699</v>
      </c>
      <c r="C815" s="21" t="str">
        <f>CLEAN(Table1[[#This Row],[Code]])</f>
        <v>AltSpec1</v>
      </c>
      <c r="D815" s="1" t="s">
        <v>2867</v>
      </c>
      <c r="E815" s="1"/>
      <c r="F815" s="1" t="s">
        <v>2587</v>
      </c>
      <c r="G815" s="3" t="s">
        <v>2588</v>
      </c>
      <c r="H815" s="1"/>
      <c r="I815" s="1"/>
      <c r="J815" s="1"/>
      <c r="K815" s="1" t="s">
        <v>2868</v>
      </c>
      <c r="L815" s="1"/>
      <c r="M815" s="1"/>
      <c r="N815" s="1"/>
      <c r="O815" s="1"/>
      <c r="P815" s="9"/>
      <c r="R815" s="16">
        <f ca="1">IF(ISNUMBER(SEARCH(INDIRECT(CELL("address")),S815)),MAX($R$1:R814)+1,0)</f>
        <v>814</v>
      </c>
      <c r="S815" s="18" t="str">
        <f>Table1[[#This Row],[Portico_Specialty]]&amp;"-"&amp;Table1[[#This Row],[Code]]</f>
        <v>Social Worker Assistant Dual 699-AltSpec1</v>
      </c>
      <c r="U815" s="16" t="str">
        <f ca="1">IFERROR(VLOOKUP(ROWS($U$1:U814),$R$2:$S$918,2,FALSE),"")</f>
        <v>Social Worker Assistant Dual 699-AltSpec1</v>
      </c>
    </row>
    <row r="816" spans="1:21" x14ac:dyDescent="0.3">
      <c r="A816" s="21" t="s">
        <v>2616</v>
      </c>
      <c r="B816" s="21" t="str">
        <f>Table1[[#This Row],[Code]]&amp;" "&amp;Table1[[#This Row],[Portico_Specialty]]</f>
        <v>AltSpec1 Social Worker Trainee - HCBS</v>
      </c>
      <c r="C816" s="21" t="str">
        <f>CLEAN(Table1[[#This Row],[Code]])</f>
        <v>AltSpec1</v>
      </c>
      <c r="D816" s="1" t="s">
        <v>2869</v>
      </c>
      <c r="E816" s="1"/>
      <c r="F816" s="1" t="s">
        <v>2587</v>
      </c>
      <c r="G816" s="3" t="s">
        <v>2588</v>
      </c>
      <c r="H816" s="1"/>
      <c r="I816" s="1"/>
      <c r="J816" s="1"/>
      <c r="K816" s="1" t="s">
        <v>2870</v>
      </c>
      <c r="L816" s="1"/>
      <c r="M816" s="1"/>
      <c r="N816" s="1"/>
      <c r="O816" s="1"/>
      <c r="P816" s="9"/>
      <c r="R816" s="16">
        <f ca="1">IF(ISNUMBER(SEARCH(INDIRECT(CELL("address")),S816)),MAX($R$1:R815)+1,0)</f>
        <v>815</v>
      </c>
      <c r="S816" s="18" t="str">
        <f>Table1[[#This Row],[Portico_Specialty]]&amp;"-"&amp;Table1[[#This Row],[Code]]</f>
        <v>Social Worker Trainee - HCBS-AltSpec1</v>
      </c>
      <c r="U816" s="16" t="str">
        <f ca="1">IFERROR(VLOOKUP(ROWS($U$1:U815),$R$2:$S$918,2,FALSE),"")</f>
        <v>Social Worker Trainee - HCBS-AltSpec1</v>
      </c>
    </row>
    <row r="817" spans="1:21" x14ac:dyDescent="0.3">
      <c r="A817" s="21" t="s">
        <v>2616</v>
      </c>
      <c r="B817" s="21" t="str">
        <f>Table1[[#This Row],[Code]]&amp;" "&amp;Table1[[#This Row],[Portico_Specialty]]</f>
        <v>AltSpec1 Social Worker Trainee Dual 399</v>
      </c>
      <c r="C817" s="21" t="str">
        <f>CLEAN(Table1[[#This Row],[Code]])</f>
        <v>AltSpec1</v>
      </c>
      <c r="D817" s="1" t="s">
        <v>2871</v>
      </c>
      <c r="E817" s="1"/>
      <c r="F817" s="1" t="s">
        <v>2587</v>
      </c>
      <c r="G817" s="3" t="s">
        <v>2588</v>
      </c>
      <c r="H817" s="1"/>
      <c r="I817" s="1"/>
      <c r="J817" s="1"/>
      <c r="K817" s="1" t="s">
        <v>2872</v>
      </c>
      <c r="L817" s="1"/>
      <c r="M817" s="1"/>
      <c r="N817" s="1"/>
      <c r="O817" s="1"/>
      <c r="P817" s="9"/>
      <c r="R817" s="16">
        <f ca="1">IF(ISNUMBER(SEARCH(INDIRECT(CELL("address")),S817)),MAX($R$1:R816)+1,0)</f>
        <v>816</v>
      </c>
      <c r="S817" s="18" t="str">
        <f>Table1[[#This Row],[Portico_Specialty]]&amp;"-"&amp;Table1[[#This Row],[Code]]</f>
        <v>Social Worker Trainee Dual 399-AltSpec1</v>
      </c>
      <c r="U817" s="16" t="str">
        <f ca="1">IFERROR(VLOOKUP(ROWS($U$1:U816),$R$2:$S$918,2,FALSE),"")</f>
        <v>Social Worker Trainee Dual 399-AltSpec1</v>
      </c>
    </row>
    <row r="818" spans="1:21" x14ac:dyDescent="0.3">
      <c r="A818" s="21" t="s">
        <v>2616</v>
      </c>
      <c r="B818" s="21" t="str">
        <f>Table1[[#This Row],[Code]]&amp;" "&amp;Table1[[#This Row],[Portico_Specialty]]</f>
        <v>AltSpec1 Social Worker Trainee Dual 699</v>
      </c>
      <c r="C818" s="21" t="str">
        <f>CLEAN(Table1[[#This Row],[Code]])</f>
        <v>AltSpec1</v>
      </c>
      <c r="D818" s="1" t="s">
        <v>2873</v>
      </c>
      <c r="E818" s="1"/>
      <c r="F818" s="1" t="s">
        <v>2587</v>
      </c>
      <c r="G818" s="3" t="s">
        <v>2588</v>
      </c>
      <c r="H818" s="1"/>
      <c r="I818" s="1"/>
      <c r="J818" s="1"/>
      <c r="K818" s="1" t="s">
        <v>2874</v>
      </c>
      <c r="L818" s="1"/>
      <c r="M818" s="1"/>
      <c r="N818" s="1"/>
      <c r="O818" s="1"/>
      <c r="P818" s="9"/>
      <c r="R818" s="16">
        <f ca="1">IF(ISNUMBER(SEARCH(INDIRECT(CELL("address")),S818)),MAX($R$1:R817)+1,0)</f>
        <v>817</v>
      </c>
      <c r="S818" s="18" t="str">
        <f>Table1[[#This Row],[Portico_Specialty]]&amp;"-"&amp;Table1[[#This Row],[Code]]</f>
        <v>Social Worker Trainee Dual 699-AltSpec1</v>
      </c>
      <c r="U818" s="16" t="str">
        <f ca="1">IFERROR(VLOOKUP(ROWS($U$1:U817),$R$2:$S$918,2,FALSE),"")</f>
        <v>Social Worker Trainee Dual 699-AltSpec1</v>
      </c>
    </row>
    <row r="819" spans="1:21" x14ac:dyDescent="0.3">
      <c r="A819" s="21" t="s">
        <v>190</v>
      </c>
      <c r="B819" s="21" t="str">
        <f>Table1[[#This Row],[Code]]&amp;" "&amp;Table1[[#This Row],[Portico_Specialty]]</f>
        <v>1041C0700X Social Worker: Clinical</v>
      </c>
      <c r="C819" s="21" t="str">
        <f>CLEAN(Table1[[#This Row],[Code]])</f>
        <v>1041C0700X</v>
      </c>
      <c r="D819" s="1" t="s">
        <v>191</v>
      </c>
      <c r="E819" s="1"/>
      <c r="F819" s="1" t="s">
        <v>2607</v>
      </c>
      <c r="G819" s="4" t="s">
        <v>2593</v>
      </c>
      <c r="H819" s="1" t="s">
        <v>2612</v>
      </c>
      <c r="I819" s="1"/>
      <c r="J819" s="1" t="s">
        <v>2612</v>
      </c>
      <c r="K819" s="1" t="s">
        <v>2612</v>
      </c>
      <c r="L819" s="1" t="s">
        <v>2612</v>
      </c>
      <c r="M819" s="1" t="s">
        <v>2612</v>
      </c>
      <c r="N819" s="1" t="s">
        <v>2612</v>
      </c>
      <c r="O819" s="1" t="s">
        <v>2612</v>
      </c>
      <c r="P819" s="9"/>
      <c r="R819" s="16">
        <f ca="1">IF(ISNUMBER(SEARCH(INDIRECT(CELL("address")),S819)),MAX($R$1:R818)+1,0)</f>
        <v>818</v>
      </c>
      <c r="S819" s="18" t="str">
        <f>Table1[[#This Row],[Portico_Specialty]]&amp;"-"&amp;Table1[[#This Row],[Code]]</f>
        <v>Social Worker: Clinical-1041C0700X</v>
      </c>
      <c r="U819" s="16" t="str">
        <f ca="1">IFERROR(VLOOKUP(ROWS($U$1:U818),$R$2:$S$918,2,FALSE),"")</f>
        <v>Social Worker: Clinical-1041C0700X</v>
      </c>
    </row>
    <row r="820" spans="1:21" x14ac:dyDescent="0.3">
      <c r="A820" s="21" t="s">
        <v>192</v>
      </c>
      <c r="B820" s="21" t="str">
        <f>Table1[[#This Row],[Code]]&amp;" "&amp;Table1[[#This Row],[Portico_Specialty]]</f>
        <v>1041S0200X Social Worker: School</v>
      </c>
      <c r="C820" s="21" t="str">
        <f>CLEAN(Table1[[#This Row],[Code]])</f>
        <v>1041S0200X</v>
      </c>
      <c r="D820" s="1" t="s">
        <v>193</v>
      </c>
      <c r="E820" s="1"/>
      <c r="F820" s="1" t="s">
        <v>2607</v>
      </c>
      <c r="G820" s="3" t="s">
        <v>2588</v>
      </c>
      <c r="H820" s="1" t="s">
        <v>2612</v>
      </c>
      <c r="I820" s="1"/>
      <c r="J820" s="1" t="s">
        <v>2612</v>
      </c>
      <c r="K820" s="1" t="s">
        <v>2612</v>
      </c>
      <c r="L820" s="1" t="s">
        <v>2612</v>
      </c>
      <c r="M820" s="1" t="s">
        <v>2612</v>
      </c>
      <c r="N820" s="1" t="s">
        <v>2612</v>
      </c>
      <c r="O820" s="1" t="s">
        <v>2612</v>
      </c>
      <c r="P820" s="9"/>
      <c r="R820" s="16">
        <f ca="1">IF(ISNUMBER(SEARCH(INDIRECT(CELL("address")),S820)),MAX($R$1:R819)+1,0)</f>
        <v>819</v>
      </c>
      <c r="S820" s="18" t="str">
        <f>Table1[[#This Row],[Portico_Specialty]]&amp;"-"&amp;Table1[[#This Row],[Code]]</f>
        <v>Social Worker: School-1041S0200X</v>
      </c>
      <c r="U820" s="16" t="str">
        <f ca="1">IFERROR(VLOOKUP(ROWS($U$1:U819),$R$2:$S$918,2,FALSE),"")</f>
        <v>Social Worker: School-1041S0200X</v>
      </c>
    </row>
    <row r="821" spans="1:21" x14ac:dyDescent="0.3">
      <c r="A821" s="21" t="s">
        <v>1235</v>
      </c>
      <c r="B821" s="21" t="str">
        <f>Table1[[#This Row],[Code]]&amp;" "&amp;Table1[[#This Row],[Portico_Specialty]]</f>
        <v>246X00000X Spec/Tech, Cardiovascular</v>
      </c>
      <c r="C821" s="21" t="str">
        <f>CLEAN(Table1[[#This Row],[Code]])</f>
        <v>246X00000X</v>
      </c>
      <c r="D821" s="1" t="s">
        <v>1236</v>
      </c>
      <c r="E821" s="1"/>
      <c r="F821" s="1" t="s">
        <v>2587</v>
      </c>
      <c r="G821" s="3" t="s">
        <v>2588</v>
      </c>
      <c r="H821" s="1" t="s">
        <v>2615</v>
      </c>
      <c r="I821" s="1"/>
      <c r="J821" s="1" t="s">
        <v>2590</v>
      </c>
      <c r="K821" s="1" t="s">
        <v>2720</v>
      </c>
      <c r="L821" s="1" t="s">
        <v>2821</v>
      </c>
      <c r="M821" s="1"/>
      <c r="N821" s="1"/>
      <c r="O821" s="1" t="s">
        <v>2720</v>
      </c>
      <c r="P821" s="9"/>
      <c r="R821" s="16">
        <f ca="1">IF(ISNUMBER(SEARCH(INDIRECT(CELL("address")),S821)),MAX($R$1:R820)+1,0)</f>
        <v>820</v>
      </c>
      <c r="S821" s="18" t="str">
        <f>Table1[[#This Row],[Portico_Specialty]]&amp;"-"&amp;Table1[[#This Row],[Code]]</f>
        <v>Spec/Tech, Cardiovascular-246X00000X</v>
      </c>
      <c r="U821" s="16" t="str">
        <f ca="1">IFERROR(VLOOKUP(ROWS($U$1:U820),$R$2:$S$918,2,FALSE),"")</f>
        <v>Spec/Tech, Cardiovascular-246X00000X</v>
      </c>
    </row>
    <row r="822" spans="1:21" ht="30.75" x14ac:dyDescent="0.3">
      <c r="A822" s="21" t="s">
        <v>1237</v>
      </c>
      <c r="B822" s="21" t="str">
        <f>Table1[[#This Row],[Code]]&amp;" "&amp;Table1[[#This Row],[Portico_Specialty]]</f>
        <v>246XC2901X Spec/Tech, Cardiovascular: Cardiovascular Invasive Specialist</v>
      </c>
      <c r="C822" s="21" t="str">
        <f>CLEAN(Table1[[#This Row],[Code]])</f>
        <v>246XC2901X</v>
      </c>
      <c r="D822" s="1" t="s">
        <v>1238</v>
      </c>
      <c r="E822" s="1"/>
      <c r="F822" s="1" t="s">
        <v>2587</v>
      </c>
      <c r="G822" s="3" t="s">
        <v>2588</v>
      </c>
      <c r="H822" s="1" t="s">
        <v>2615</v>
      </c>
      <c r="I822" s="1"/>
      <c r="J822" s="1" t="s">
        <v>2590</v>
      </c>
      <c r="K822" s="1" t="s">
        <v>2720</v>
      </c>
      <c r="L822" s="1"/>
      <c r="M822" s="1"/>
      <c r="N822" s="1"/>
      <c r="O822" s="1" t="s">
        <v>2720</v>
      </c>
      <c r="P822" s="9"/>
      <c r="R822" s="16">
        <f ca="1">IF(ISNUMBER(SEARCH(INDIRECT(CELL("address")),S822)),MAX($R$1:R821)+1,0)</f>
        <v>821</v>
      </c>
      <c r="S822" s="18" t="str">
        <f>Table1[[#This Row],[Portico_Specialty]]&amp;"-"&amp;Table1[[#This Row],[Code]]</f>
        <v>Spec/Tech, Cardiovascular: Cardiovascular Invasive Specialist-246XC2901X</v>
      </c>
      <c r="U822" s="16" t="str">
        <f ca="1">IFERROR(VLOOKUP(ROWS($U$1:U821),$R$2:$S$918,2,FALSE),"")</f>
        <v>Spec/Tech, Cardiovascular: Cardiovascular Invasive Specialist-246XC2901X</v>
      </c>
    </row>
    <row r="823" spans="1:21" x14ac:dyDescent="0.3">
      <c r="A823" s="21" t="s">
        <v>1241</v>
      </c>
      <c r="B823" s="21" t="str">
        <f>Table1[[#This Row],[Code]]&amp;" "&amp;Table1[[#This Row],[Portico_Specialty]]</f>
        <v>246XS1301X Spec/Tech, Cardiovascular: Sonography</v>
      </c>
      <c r="C823" s="21" t="str">
        <f>CLEAN(Table1[[#This Row],[Code]])</f>
        <v>246XS1301X</v>
      </c>
      <c r="D823" s="1" t="s">
        <v>1242</v>
      </c>
      <c r="E823" s="1"/>
      <c r="F823" s="1" t="s">
        <v>2587</v>
      </c>
      <c r="G823" s="3" t="s">
        <v>2588</v>
      </c>
      <c r="H823" s="1" t="s">
        <v>2615</v>
      </c>
      <c r="I823" s="1"/>
      <c r="J823" s="1" t="s">
        <v>2590</v>
      </c>
      <c r="K823" s="1" t="s">
        <v>2720</v>
      </c>
      <c r="L823" s="1"/>
      <c r="M823" s="1"/>
      <c r="N823" s="1"/>
      <c r="O823" s="1" t="s">
        <v>2720</v>
      </c>
      <c r="P823" s="9"/>
      <c r="R823" s="16">
        <f ca="1">IF(ISNUMBER(SEARCH(INDIRECT(CELL("address")),S823)),MAX($R$1:R822)+1,0)</f>
        <v>822</v>
      </c>
      <c r="S823" s="18" t="str">
        <f>Table1[[#This Row],[Portico_Specialty]]&amp;"-"&amp;Table1[[#This Row],[Code]]</f>
        <v>Spec/Tech, Cardiovascular: Sonography-246XS1301X</v>
      </c>
      <c r="U823" s="16" t="str">
        <f ca="1">IFERROR(VLOOKUP(ROWS($U$1:U822),$R$2:$S$918,2,FALSE),"")</f>
        <v>Spec/Tech, Cardiovascular: Sonography-246XS1301X</v>
      </c>
    </row>
    <row r="824" spans="1:21" ht="30.75" x14ac:dyDescent="0.3">
      <c r="A824" s="21" t="s">
        <v>1239</v>
      </c>
      <c r="B824" s="21" t="str">
        <f>Table1[[#This Row],[Code]]&amp;" "&amp;Table1[[#This Row],[Portico_Specialty]]</f>
        <v>246XC2903X Spec/Tech, Cardiovascular: Vascular Specialist</v>
      </c>
      <c r="C824" s="21" t="str">
        <f>CLEAN(Table1[[#This Row],[Code]])</f>
        <v>246XC2903X</v>
      </c>
      <c r="D824" s="1" t="s">
        <v>1240</v>
      </c>
      <c r="E824" s="1"/>
      <c r="F824" s="1" t="s">
        <v>2587</v>
      </c>
      <c r="G824" s="3" t="s">
        <v>2588</v>
      </c>
      <c r="H824" s="1" t="s">
        <v>2615</v>
      </c>
      <c r="I824" s="1"/>
      <c r="J824" s="1" t="s">
        <v>2590</v>
      </c>
      <c r="K824" s="1" t="s">
        <v>2720</v>
      </c>
      <c r="L824" s="1"/>
      <c r="M824" s="1"/>
      <c r="N824" s="1"/>
      <c r="O824" s="1" t="s">
        <v>2720</v>
      </c>
      <c r="P824" s="9"/>
      <c r="R824" s="16">
        <f ca="1">IF(ISNUMBER(SEARCH(INDIRECT(CELL("address")),S824)),MAX($R$1:R823)+1,0)</f>
        <v>823</v>
      </c>
      <c r="S824" s="18" t="str">
        <f>Table1[[#This Row],[Portico_Specialty]]&amp;"-"&amp;Table1[[#This Row],[Code]]</f>
        <v>Spec/Tech, Cardiovascular: Vascular Specialist-246XC2903X</v>
      </c>
      <c r="U824" s="16" t="str">
        <f ca="1">IFERROR(VLOOKUP(ROWS($U$1:U823),$R$2:$S$918,2,FALSE),"")</f>
        <v>Spec/Tech, Cardiovascular: Vascular Specialist-246XC2903X</v>
      </c>
    </row>
    <row r="825" spans="1:21" x14ac:dyDescent="0.3">
      <c r="A825" s="21" t="s">
        <v>1243</v>
      </c>
      <c r="B825" s="21" t="str">
        <f>Table1[[#This Row],[Code]]&amp;" "&amp;Table1[[#This Row],[Portico_Specialty]]</f>
        <v>246Y00000X Spec/Tech, Health Info</v>
      </c>
      <c r="C825" s="21" t="str">
        <f>CLEAN(Table1[[#This Row],[Code]])</f>
        <v>246Y00000X</v>
      </c>
      <c r="D825" s="1" t="s">
        <v>1244</v>
      </c>
      <c r="E825" s="1"/>
      <c r="F825" s="1" t="s">
        <v>2587</v>
      </c>
      <c r="G825" s="3" t="s">
        <v>2588</v>
      </c>
      <c r="H825" s="1" t="s">
        <v>2615</v>
      </c>
      <c r="I825" s="1"/>
      <c r="J825" s="1" t="s">
        <v>2590</v>
      </c>
      <c r="K825" s="1" t="s">
        <v>2682</v>
      </c>
      <c r="L825" s="1" t="s">
        <v>2821</v>
      </c>
      <c r="M825" s="1"/>
      <c r="N825" s="1"/>
      <c r="O825" s="1" t="s">
        <v>2682</v>
      </c>
      <c r="P825" s="9"/>
      <c r="R825" s="16">
        <f ca="1">IF(ISNUMBER(SEARCH(INDIRECT(CELL("address")),S825)),MAX($R$1:R824)+1,0)</f>
        <v>824</v>
      </c>
      <c r="S825" s="18" t="str">
        <f>Table1[[#This Row],[Portico_Specialty]]&amp;"-"&amp;Table1[[#This Row],[Code]]</f>
        <v>Spec/Tech, Health Info-246Y00000X</v>
      </c>
      <c r="U825" s="16" t="str">
        <f ca="1">IFERROR(VLOOKUP(ROWS($U$1:U824),$R$2:$S$918,2,FALSE),"")</f>
        <v>Spec/Tech, Health Info-246Y00000X</v>
      </c>
    </row>
    <row r="826" spans="1:21" ht="30.75" x14ac:dyDescent="0.3">
      <c r="A826" s="21" t="s">
        <v>1245</v>
      </c>
      <c r="B826" s="21" t="str">
        <f>Table1[[#This Row],[Code]]&amp;" "&amp;Table1[[#This Row],[Portico_Specialty]]</f>
        <v>246YC3301X Spec/Tech, Health Info: Coding Specialist, Hospital Based</v>
      </c>
      <c r="C826" s="21" t="str">
        <f>CLEAN(Table1[[#This Row],[Code]])</f>
        <v>246YC3301X</v>
      </c>
      <c r="D826" s="1" t="s">
        <v>1246</v>
      </c>
      <c r="E826" s="1"/>
      <c r="F826" s="1" t="s">
        <v>2587</v>
      </c>
      <c r="G826" s="3" t="s">
        <v>2588</v>
      </c>
      <c r="H826" s="1"/>
      <c r="I826" s="1"/>
      <c r="J826" s="1" t="s">
        <v>2590</v>
      </c>
      <c r="K826" s="1" t="s">
        <v>2682</v>
      </c>
      <c r="L826" s="1"/>
      <c r="M826" s="1"/>
      <c r="N826" s="1"/>
      <c r="O826" s="1" t="s">
        <v>2682</v>
      </c>
      <c r="P826" s="9"/>
      <c r="R826" s="16">
        <f ca="1">IF(ISNUMBER(SEARCH(INDIRECT(CELL("address")),S826)),MAX($R$1:R825)+1,0)</f>
        <v>825</v>
      </c>
      <c r="S826" s="18" t="str">
        <f>Table1[[#This Row],[Portico_Specialty]]&amp;"-"&amp;Table1[[#This Row],[Code]]</f>
        <v>Spec/Tech, Health Info: Coding Specialist, Hospital Based-246YC3301X</v>
      </c>
      <c r="U826" s="16" t="str">
        <f ca="1">IFERROR(VLOOKUP(ROWS($U$1:U825),$R$2:$S$918,2,FALSE),"")</f>
        <v>Spec/Tech, Health Info: Coding Specialist, Hospital Based-246YC3301X</v>
      </c>
    </row>
    <row r="827" spans="1:21" ht="30.75" x14ac:dyDescent="0.3">
      <c r="A827" s="21" t="s">
        <v>1247</v>
      </c>
      <c r="B827" s="21" t="str">
        <f>Table1[[#This Row],[Code]]&amp;" "&amp;Table1[[#This Row],[Portico_Specialty]]</f>
        <v>246YC3302X Spec/Tech, Health Info: Coding Specialist, Physician Office Based</v>
      </c>
      <c r="C827" s="21" t="str">
        <f>CLEAN(Table1[[#This Row],[Code]])</f>
        <v>246YC3302X</v>
      </c>
      <c r="D827" s="1" t="s">
        <v>1248</v>
      </c>
      <c r="E827" s="1"/>
      <c r="F827" s="1" t="s">
        <v>2587</v>
      </c>
      <c r="G827" s="3" t="s">
        <v>2588</v>
      </c>
      <c r="H827" s="1"/>
      <c r="I827" s="1"/>
      <c r="J827" s="1" t="s">
        <v>2590</v>
      </c>
      <c r="K827" s="1" t="s">
        <v>2682</v>
      </c>
      <c r="L827" s="1"/>
      <c r="M827" s="1"/>
      <c r="N827" s="1"/>
      <c r="O827" s="1" t="s">
        <v>2682</v>
      </c>
      <c r="P827" s="9"/>
      <c r="R827" s="16">
        <f ca="1">IF(ISNUMBER(SEARCH(INDIRECT(CELL("address")),S827)),MAX($R$1:R826)+1,0)</f>
        <v>826</v>
      </c>
      <c r="S827" s="18" t="str">
        <f>Table1[[#This Row],[Portico_Specialty]]&amp;"-"&amp;Table1[[#This Row],[Code]]</f>
        <v>Spec/Tech, Health Info: Coding Specialist, Physician Office Based-246YC3302X</v>
      </c>
      <c r="U827" s="16" t="str">
        <f ca="1">IFERROR(VLOOKUP(ROWS($U$1:U826),$R$2:$S$918,2,FALSE),"")</f>
        <v>Spec/Tech, Health Info: Coding Specialist, Physician Office Based-246YC3302X</v>
      </c>
    </row>
    <row r="828" spans="1:21" ht="30.75" x14ac:dyDescent="0.3">
      <c r="A828" s="21" t="s">
        <v>1249</v>
      </c>
      <c r="B828" s="21" t="str">
        <f>Table1[[#This Row],[Code]]&amp;" "&amp;Table1[[#This Row],[Portico_Specialty]]</f>
        <v>246YR1600X Spec/Tech, Health Info: Registered Record Administrator</v>
      </c>
      <c r="C828" s="21" t="str">
        <f>CLEAN(Table1[[#This Row],[Code]])</f>
        <v>246YR1600X</v>
      </c>
      <c r="D828" s="1" t="s">
        <v>1250</v>
      </c>
      <c r="E828" s="1"/>
      <c r="F828" s="1" t="s">
        <v>2587</v>
      </c>
      <c r="G828" s="3" t="s">
        <v>2588</v>
      </c>
      <c r="H828" s="1"/>
      <c r="I828" s="1"/>
      <c r="J828" s="1" t="s">
        <v>2590</v>
      </c>
      <c r="K828" s="1" t="s">
        <v>2590</v>
      </c>
      <c r="L828" s="1"/>
      <c r="M828" s="1"/>
      <c r="N828" s="1"/>
      <c r="O828" s="1" t="s">
        <v>2590</v>
      </c>
      <c r="P828" s="9"/>
      <c r="R828" s="16">
        <f ca="1">IF(ISNUMBER(SEARCH(INDIRECT(CELL("address")),S828)),MAX($R$1:R827)+1,0)</f>
        <v>827</v>
      </c>
      <c r="S828" s="18" t="str">
        <f>Table1[[#This Row],[Portico_Specialty]]&amp;"-"&amp;Table1[[#This Row],[Code]]</f>
        <v>Spec/Tech, Health Info: Registered Record Administrator-246YR1600X</v>
      </c>
      <c r="U828" s="16" t="str">
        <f ca="1">IFERROR(VLOOKUP(ROWS($U$1:U827),$R$2:$S$918,2,FALSE),"")</f>
        <v>Spec/Tech, Health Info: Registered Record Administrator-246YR1600X</v>
      </c>
    </row>
    <row r="829" spans="1:21" x14ac:dyDescent="0.3">
      <c r="A829" s="21" t="s">
        <v>1201</v>
      </c>
      <c r="B829" s="21" t="str">
        <f>Table1[[#This Row],[Code]]&amp;" "&amp;Table1[[#This Row],[Portico_Specialty]]</f>
        <v>246Q00000X Spec/Tech, Pathology</v>
      </c>
      <c r="C829" s="21" t="str">
        <f>CLEAN(Table1[[#This Row],[Code]])</f>
        <v>246Q00000X</v>
      </c>
      <c r="D829" s="1" t="s">
        <v>1202</v>
      </c>
      <c r="E829" s="1"/>
      <c r="F829" s="1" t="s">
        <v>2587</v>
      </c>
      <c r="G829" s="3" t="s">
        <v>2588</v>
      </c>
      <c r="H829" s="1" t="s">
        <v>2615</v>
      </c>
      <c r="I829" s="1"/>
      <c r="J829" s="1" t="s">
        <v>2590</v>
      </c>
      <c r="K829" s="1" t="s">
        <v>2815</v>
      </c>
      <c r="L829" s="1" t="s">
        <v>2821</v>
      </c>
      <c r="M829" s="1"/>
      <c r="N829" s="1"/>
      <c r="O829" s="1" t="s">
        <v>2815</v>
      </c>
      <c r="P829" s="9"/>
      <c r="R829" s="16">
        <f ca="1">IF(ISNUMBER(SEARCH(INDIRECT(CELL("address")),S829)),MAX($R$1:R828)+1,0)</f>
        <v>828</v>
      </c>
      <c r="S829" s="18" t="str">
        <f>Table1[[#This Row],[Portico_Specialty]]&amp;"-"&amp;Table1[[#This Row],[Code]]</f>
        <v>Spec/Tech, Pathology-246Q00000X</v>
      </c>
      <c r="U829" s="16" t="str">
        <f ca="1">IFERROR(VLOOKUP(ROWS($U$1:U828),$R$2:$S$918,2,FALSE),"")</f>
        <v>Spec/Tech, Pathology-246Q00000X</v>
      </c>
    </row>
    <row r="830" spans="1:21" x14ac:dyDescent="0.3">
      <c r="A830" s="21" t="s">
        <v>1203</v>
      </c>
      <c r="B830" s="21" t="str">
        <f>Table1[[#This Row],[Code]]&amp;" "&amp;Table1[[#This Row],[Portico_Specialty]]</f>
        <v>246QB0000X Spec/Tech, Pathology: Blood Banking</v>
      </c>
      <c r="C830" s="21" t="str">
        <f>CLEAN(Table1[[#This Row],[Code]])</f>
        <v>246QB0000X</v>
      </c>
      <c r="D830" s="1" t="s">
        <v>1204</v>
      </c>
      <c r="E830" s="1"/>
      <c r="F830" s="1" t="s">
        <v>2587</v>
      </c>
      <c r="G830" s="3" t="s">
        <v>2588</v>
      </c>
      <c r="H830" s="1" t="s">
        <v>2615</v>
      </c>
      <c r="I830" s="1"/>
      <c r="J830" s="1" t="s">
        <v>2590</v>
      </c>
      <c r="K830" s="1" t="s">
        <v>2815</v>
      </c>
      <c r="L830" s="1"/>
      <c r="M830" s="1"/>
      <c r="N830" s="1"/>
      <c r="O830" s="1" t="s">
        <v>2815</v>
      </c>
      <c r="P830" s="9"/>
      <c r="R830" s="16">
        <f ca="1">IF(ISNUMBER(SEARCH(INDIRECT(CELL("address")),S830)),MAX($R$1:R829)+1,0)</f>
        <v>829</v>
      </c>
      <c r="S830" s="18" t="str">
        <f>Table1[[#This Row],[Portico_Specialty]]&amp;"-"&amp;Table1[[#This Row],[Code]]</f>
        <v>Spec/Tech, Pathology: Blood Banking-246QB0000X</v>
      </c>
      <c r="U830" s="16" t="str">
        <f ca="1">IFERROR(VLOOKUP(ROWS($U$1:U829),$R$2:$S$918,2,FALSE),"")</f>
        <v>Spec/Tech, Pathology: Blood Banking-246QB0000X</v>
      </c>
    </row>
    <row r="831" spans="1:21" x14ac:dyDescent="0.3">
      <c r="A831" s="21" t="s">
        <v>1205</v>
      </c>
      <c r="B831" s="21" t="str">
        <f>Table1[[#This Row],[Code]]&amp;" "&amp;Table1[[#This Row],[Portico_Specialty]]</f>
        <v>246QC1000X Spec/Tech, Pathology: Chemistry</v>
      </c>
      <c r="C831" s="21" t="str">
        <f>CLEAN(Table1[[#This Row],[Code]])</f>
        <v>246QC1000X</v>
      </c>
      <c r="D831" s="1" t="s">
        <v>1206</v>
      </c>
      <c r="E831" s="1"/>
      <c r="F831" s="1" t="s">
        <v>2587</v>
      </c>
      <c r="G831" s="3" t="s">
        <v>2588</v>
      </c>
      <c r="H831" s="1" t="s">
        <v>2615</v>
      </c>
      <c r="I831" s="1"/>
      <c r="J831" s="1" t="s">
        <v>2590</v>
      </c>
      <c r="K831" s="1" t="s">
        <v>2815</v>
      </c>
      <c r="L831" s="1"/>
      <c r="M831" s="1"/>
      <c r="N831" s="1"/>
      <c r="O831" s="1" t="s">
        <v>2815</v>
      </c>
      <c r="P831" s="9"/>
      <c r="R831" s="16">
        <f ca="1">IF(ISNUMBER(SEARCH(INDIRECT(CELL("address")),S831)),MAX($R$1:R830)+1,0)</f>
        <v>830</v>
      </c>
      <c r="S831" s="18" t="str">
        <f>Table1[[#This Row],[Portico_Specialty]]&amp;"-"&amp;Table1[[#This Row],[Code]]</f>
        <v>Spec/Tech, Pathology: Chemistry-246QC1000X</v>
      </c>
      <c r="U831" s="16" t="str">
        <f ca="1">IFERROR(VLOOKUP(ROWS($U$1:U830),$R$2:$S$918,2,FALSE),"")</f>
        <v>Spec/Tech, Pathology: Chemistry-246QC1000X</v>
      </c>
    </row>
    <row r="832" spans="1:21" x14ac:dyDescent="0.3">
      <c r="A832" s="21" t="s">
        <v>1207</v>
      </c>
      <c r="B832" s="21" t="str">
        <f>Table1[[#This Row],[Code]]&amp;" "&amp;Table1[[#This Row],[Portico_Specialty]]</f>
        <v>246QC2700X Spec/Tech, Pathology: Cytotechnology</v>
      </c>
      <c r="C832" s="21" t="str">
        <f>CLEAN(Table1[[#This Row],[Code]])</f>
        <v>246QC2700X</v>
      </c>
      <c r="D832" s="1" t="s">
        <v>1208</v>
      </c>
      <c r="E832" s="1"/>
      <c r="F832" s="1" t="s">
        <v>2587</v>
      </c>
      <c r="G832" s="3" t="s">
        <v>2588</v>
      </c>
      <c r="H832" s="1" t="s">
        <v>2615</v>
      </c>
      <c r="I832" s="1"/>
      <c r="J832" s="1" t="s">
        <v>2590</v>
      </c>
      <c r="K832" s="1" t="s">
        <v>2815</v>
      </c>
      <c r="L832" s="1"/>
      <c r="M832" s="1"/>
      <c r="N832" s="1"/>
      <c r="O832" s="1" t="s">
        <v>2815</v>
      </c>
      <c r="P832" s="9"/>
      <c r="R832" s="16">
        <f ca="1">IF(ISNUMBER(SEARCH(INDIRECT(CELL("address")),S832)),MAX($R$1:R831)+1,0)</f>
        <v>831</v>
      </c>
      <c r="S832" s="18" t="str">
        <f>Table1[[#This Row],[Portico_Specialty]]&amp;"-"&amp;Table1[[#This Row],[Code]]</f>
        <v>Spec/Tech, Pathology: Cytotechnology-246QC2700X</v>
      </c>
      <c r="U832" s="16" t="str">
        <f ca="1">IFERROR(VLOOKUP(ROWS($U$1:U831),$R$2:$S$918,2,FALSE),"")</f>
        <v>Spec/Tech, Pathology: Cytotechnology-246QC2700X</v>
      </c>
    </row>
    <row r="833" spans="1:22" ht="30.75" x14ac:dyDescent="0.3">
      <c r="A833" s="21" t="s">
        <v>1211</v>
      </c>
      <c r="B833" s="21" t="str">
        <f>Table1[[#This Row],[Code]]&amp;" "&amp;Table1[[#This Row],[Portico_Specialty]]</f>
        <v>246QH0401X Spec/Tech, Pathology: Hemapheresis Practitioner</v>
      </c>
      <c r="C833" s="21" t="str">
        <f>CLEAN(Table1[[#This Row],[Code]])</f>
        <v>246QH0401X</v>
      </c>
      <c r="D833" s="1" t="s">
        <v>1212</v>
      </c>
      <c r="E833" s="1"/>
      <c r="F833" s="1" t="s">
        <v>2587</v>
      </c>
      <c r="G833" s="3" t="s">
        <v>2588</v>
      </c>
      <c r="H833" s="1" t="s">
        <v>2615</v>
      </c>
      <c r="I833" s="1"/>
      <c r="J833" s="1" t="s">
        <v>2590</v>
      </c>
      <c r="K833" s="1" t="s">
        <v>2815</v>
      </c>
      <c r="L833" s="1"/>
      <c r="M833" s="1"/>
      <c r="N833" s="1"/>
      <c r="O833" s="1" t="s">
        <v>2815</v>
      </c>
      <c r="P833" s="9"/>
      <c r="R833" s="16">
        <f ca="1">IF(ISNUMBER(SEARCH(INDIRECT(CELL("address")),S833)),MAX($R$1:R832)+1,0)</f>
        <v>832</v>
      </c>
      <c r="S833" s="18" t="str">
        <f>Table1[[#This Row],[Portico_Specialty]]&amp;"-"&amp;Table1[[#This Row],[Code]]</f>
        <v>Spec/Tech, Pathology: Hemapheresis Practitioner-246QH0401X</v>
      </c>
      <c r="U833" s="16" t="str">
        <f ca="1">IFERROR(VLOOKUP(ROWS($U$1:U832),$R$2:$S$918,2,FALSE),"")</f>
        <v>Spec/Tech, Pathology: Hemapheresis Practitioner-246QH0401X</v>
      </c>
    </row>
    <row r="834" spans="1:22" x14ac:dyDescent="0.3">
      <c r="A834" s="21" t="s">
        <v>1209</v>
      </c>
      <c r="B834" s="21" t="str">
        <f>Table1[[#This Row],[Code]]&amp;" "&amp;Table1[[#This Row],[Portico_Specialty]]</f>
        <v>246QH0000X Spec/Tech, Pathology: Hematology</v>
      </c>
      <c r="C834" s="21" t="str">
        <f>CLEAN(Table1[[#This Row],[Code]])</f>
        <v>246QH0000X</v>
      </c>
      <c r="D834" s="1" t="s">
        <v>1210</v>
      </c>
      <c r="E834" s="1"/>
      <c r="F834" s="1" t="s">
        <v>2587</v>
      </c>
      <c r="G834" s="3" t="s">
        <v>2588</v>
      </c>
      <c r="H834" s="1" t="s">
        <v>2615</v>
      </c>
      <c r="I834" s="1"/>
      <c r="J834" s="1" t="s">
        <v>2590</v>
      </c>
      <c r="K834" s="1" t="s">
        <v>2815</v>
      </c>
      <c r="L834" s="1"/>
      <c r="M834" s="1"/>
      <c r="N834" s="1"/>
      <c r="O834" s="1" t="s">
        <v>2815</v>
      </c>
      <c r="P834" s="9"/>
      <c r="R834" s="16">
        <f ca="1">IF(ISNUMBER(SEARCH(INDIRECT(CELL("address")),S834)),MAX($R$1:R833)+1,0)</f>
        <v>833</v>
      </c>
      <c r="S834" s="18" t="str">
        <f>Table1[[#This Row],[Portico_Specialty]]&amp;"-"&amp;Table1[[#This Row],[Code]]</f>
        <v>Spec/Tech, Pathology: Hematology-246QH0000X</v>
      </c>
      <c r="U834" s="16" t="str">
        <f ca="1">IFERROR(VLOOKUP(ROWS($U$1:U833),$R$2:$S$918,2,FALSE),"")</f>
        <v>Spec/Tech, Pathology: Hematology-246QH0000X</v>
      </c>
    </row>
    <row r="835" spans="1:22" x14ac:dyDescent="0.3">
      <c r="A835" s="21" t="s">
        <v>1213</v>
      </c>
      <c r="B835" s="21" t="str">
        <f>Table1[[#This Row],[Code]]&amp;" "&amp;Table1[[#This Row],[Portico_Specialty]]</f>
        <v>246QH0600X Spec/Tech, Pathology: Histology</v>
      </c>
      <c r="C835" s="21" t="str">
        <f>CLEAN(Table1[[#This Row],[Code]])</f>
        <v>246QH0600X</v>
      </c>
      <c r="D835" s="1" t="s">
        <v>1214</v>
      </c>
      <c r="E835" s="1"/>
      <c r="F835" s="1" t="s">
        <v>2587</v>
      </c>
      <c r="G835" s="3" t="s">
        <v>2588</v>
      </c>
      <c r="H835" s="1" t="s">
        <v>2615</v>
      </c>
      <c r="I835" s="1"/>
      <c r="J835" s="1" t="s">
        <v>2590</v>
      </c>
      <c r="K835" s="1" t="s">
        <v>2815</v>
      </c>
      <c r="L835" s="1"/>
      <c r="M835" s="1"/>
      <c r="N835" s="1"/>
      <c r="O835" s="1" t="s">
        <v>2815</v>
      </c>
      <c r="P835" s="9"/>
      <c r="R835" s="16">
        <f ca="1">IF(ISNUMBER(SEARCH(INDIRECT(CELL("address")),S835)),MAX($R$1:R834)+1,0)</f>
        <v>834</v>
      </c>
      <c r="S835" s="18" t="str">
        <f>Table1[[#This Row],[Portico_Specialty]]&amp;"-"&amp;Table1[[#This Row],[Code]]</f>
        <v>Spec/Tech, Pathology: Histology-246QH0600X</v>
      </c>
      <c r="U835" s="16" t="str">
        <f ca="1">IFERROR(VLOOKUP(ROWS($U$1:U834),$R$2:$S$918,2,FALSE),"")</f>
        <v>Spec/Tech, Pathology: Histology-246QH0600X</v>
      </c>
    </row>
    <row r="836" spans="1:22" x14ac:dyDescent="0.3">
      <c r="A836" s="21" t="s">
        <v>1215</v>
      </c>
      <c r="B836" s="21" t="str">
        <f>Table1[[#This Row],[Code]]&amp;" "&amp;Table1[[#This Row],[Portico_Specialty]]</f>
        <v>246QI0000X Spec/Tech, Pathology: Immunology</v>
      </c>
      <c r="C836" s="21" t="str">
        <f>CLEAN(Table1[[#This Row],[Code]])</f>
        <v>246QI0000X</v>
      </c>
      <c r="D836" s="1" t="s">
        <v>1216</v>
      </c>
      <c r="E836" s="1"/>
      <c r="F836" s="1" t="s">
        <v>2587</v>
      </c>
      <c r="G836" s="3" t="s">
        <v>2588</v>
      </c>
      <c r="H836" s="1" t="s">
        <v>2615</v>
      </c>
      <c r="I836" s="1"/>
      <c r="J836" s="1" t="s">
        <v>2590</v>
      </c>
      <c r="K836" s="1" t="s">
        <v>2815</v>
      </c>
      <c r="L836" s="1"/>
      <c r="M836" s="1"/>
      <c r="N836" s="1"/>
      <c r="O836" s="1" t="s">
        <v>2815</v>
      </c>
      <c r="P836" s="9"/>
      <c r="R836" s="16">
        <f ca="1">IF(ISNUMBER(SEARCH(INDIRECT(CELL("address")),S836)),MAX($R$1:R835)+1,0)</f>
        <v>835</v>
      </c>
      <c r="S836" s="18" t="str">
        <f>Table1[[#This Row],[Portico_Specialty]]&amp;"-"&amp;Table1[[#This Row],[Code]]</f>
        <v>Spec/Tech, Pathology: Immunology-246QI0000X</v>
      </c>
      <c r="U836" s="16" t="str">
        <f ca="1">IFERROR(VLOOKUP(ROWS($U$1:U835),$R$2:$S$918,2,FALSE),"")</f>
        <v>Spec/Tech, Pathology: Immunology-246QI0000X</v>
      </c>
    </row>
    <row r="837" spans="1:22" ht="30.75" x14ac:dyDescent="0.3">
      <c r="A837" s="21" t="s">
        <v>1217</v>
      </c>
      <c r="B837" s="21" t="str">
        <f>Table1[[#This Row],[Code]]&amp;" "&amp;Table1[[#This Row],[Portico_Specialty]]</f>
        <v>246QL0900X Spec/Tech, Pathology: Laboratory Management</v>
      </c>
      <c r="C837" s="21" t="str">
        <f>CLEAN(Table1[[#This Row],[Code]])</f>
        <v>246QL0900X</v>
      </c>
      <c r="D837" s="1" t="s">
        <v>1218</v>
      </c>
      <c r="E837" s="1"/>
      <c r="F837" s="1" t="s">
        <v>2587</v>
      </c>
      <c r="G837" s="3" t="s">
        <v>2588</v>
      </c>
      <c r="H837" s="1" t="s">
        <v>2615</v>
      </c>
      <c r="I837" s="1"/>
      <c r="J837" s="1" t="s">
        <v>2590</v>
      </c>
      <c r="K837" s="1" t="s">
        <v>2815</v>
      </c>
      <c r="L837" s="1"/>
      <c r="M837" s="1"/>
      <c r="N837" s="1"/>
      <c r="O837" s="1" t="s">
        <v>2815</v>
      </c>
      <c r="P837" s="9"/>
      <c r="R837" s="16">
        <f ca="1">IF(ISNUMBER(SEARCH(INDIRECT(CELL("address")),S837)),MAX($R$1:R836)+1,0)</f>
        <v>836</v>
      </c>
      <c r="S837" s="18" t="str">
        <f>Table1[[#This Row],[Portico_Specialty]]&amp;"-"&amp;Table1[[#This Row],[Code]]</f>
        <v>Spec/Tech, Pathology: Laboratory Management-246QL0900X</v>
      </c>
      <c r="U837" s="16" t="str">
        <f ca="1">IFERROR(VLOOKUP(ROWS($U$1:U836),$R$2:$S$918,2,FALSE),"")</f>
        <v>Spec/Tech, Pathology: Laboratory Management-246QL0900X</v>
      </c>
    </row>
    <row r="838" spans="1:22" ht="30.75" x14ac:dyDescent="0.3">
      <c r="A838" s="21" t="s">
        <v>1219</v>
      </c>
      <c r="B838" s="21" t="str">
        <f>Table1[[#This Row],[Code]]&amp;" "&amp;Table1[[#This Row],[Portico_Specialty]]</f>
        <v>246QL0901X Spec/Tech, Pathology: Laboratory Management, Diplomate</v>
      </c>
      <c r="C838" s="21" t="str">
        <f>CLEAN(Table1[[#This Row],[Code]])</f>
        <v>246QL0901X</v>
      </c>
      <c r="D838" s="1" t="s">
        <v>1220</v>
      </c>
      <c r="E838" s="1"/>
      <c r="F838" s="1" t="s">
        <v>2587</v>
      </c>
      <c r="G838" s="3" t="s">
        <v>2588</v>
      </c>
      <c r="H838" s="1" t="s">
        <v>2615</v>
      </c>
      <c r="I838" s="1"/>
      <c r="J838" s="1" t="s">
        <v>2590</v>
      </c>
      <c r="K838" s="1" t="s">
        <v>2815</v>
      </c>
      <c r="L838" s="1"/>
      <c r="M838" s="1"/>
      <c r="N838" s="1"/>
      <c r="O838" s="1" t="s">
        <v>2815</v>
      </c>
      <c r="P838" s="9"/>
      <c r="R838" s="16">
        <f ca="1">IF(ISNUMBER(SEARCH(INDIRECT(CELL("address")),S838)),MAX($R$1:R837)+1,0)</f>
        <v>837</v>
      </c>
      <c r="S838" s="18" t="str">
        <f>Table1[[#This Row],[Portico_Specialty]]&amp;"-"&amp;Table1[[#This Row],[Code]]</f>
        <v>Spec/Tech, Pathology: Laboratory Management, Diplomate-246QL0901X</v>
      </c>
      <c r="U838" s="16" t="str">
        <f ca="1">IFERROR(VLOOKUP(ROWS($U$1:U837),$R$2:$S$918,2,FALSE),"")</f>
        <v>Spec/Tech, Pathology: Laboratory Management, Diplomate-246QL0901X</v>
      </c>
    </row>
    <row r="839" spans="1:22" ht="30.75" x14ac:dyDescent="0.3">
      <c r="A839" s="21" t="s">
        <v>1221</v>
      </c>
      <c r="B839" s="21" t="str">
        <f>Table1[[#This Row],[Code]]&amp;" "&amp;Table1[[#This Row],[Portico_Specialty]]</f>
        <v>246QM0706X Spec/Tech, Pathology: Medical Technologist</v>
      </c>
      <c r="C839" s="21" t="str">
        <f>CLEAN(Table1[[#This Row],[Code]])</f>
        <v>246QM0706X</v>
      </c>
      <c r="D839" s="1" t="s">
        <v>1222</v>
      </c>
      <c r="E839" s="1"/>
      <c r="F839" s="1" t="s">
        <v>2587</v>
      </c>
      <c r="G839" s="3" t="s">
        <v>2588</v>
      </c>
      <c r="H839" s="1" t="s">
        <v>2615</v>
      </c>
      <c r="I839" s="1"/>
      <c r="J839" s="1" t="s">
        <v>2590</v>
      </c>
      <c r="K839" s="1" t="s">
        <v>2815</v>
      </c>
      <c r="L839" s="1"/>
      <c r="M839" s="1"/>
      <c r="N839" s="1"/>
      <c r="O839" s="1" t="s">
        <v>2815</v>
      </c>
      <c r="P839" s="9"/>
      <c r="R839" s="16">
        <f ca="1">IF(ISNUMBER(SEARCH(INDIRECT(CELL("address")),S839)),MAX($R$1:R838)+1,0)</f>
        <v>838</v>
      </c>
      <c r="S839" s="18" t="str">
        <f>Table1[[#This Row],[Portico_Specialty]]&amp;"-"&amp;Table1[[#This Row],[Code]]</f>
        <v>Spec/Tech, Pathology: Medical Technologist-246QM0706X</v>
      </c>
      <c r="U839" s="16" t="str">
        <f ca="1">IFERROR(VLOOKUP(ROWS($U$1:U838),$R$2:$S$918,2,FALSE),"")</f>
        <v>Spec/Tech, Pathology: Medical Technologist-246QM0706X</v>
      </c>
    </row>
    <row r="840" spans="1:22" x14ac:dyDescent="0.3">
      <c r="A840" s="21" t="s">
        <v>1223</v>
      </c>
      <c r="B840" s="21" t="str">
        <f>Table1[[#This Row],[Code]]&amp;" "&amp;Table1[[#This Row],[Portico_Specialty]]</f>
        <v>246QM0900X Spec/Tech, Pathology: Microbiology</v>
      </c>
      <c r="C840" s="21" t="str">
        <f>CLEAN(Table1[[#This Row],[Code]])</f>
        <v>246QM0900X</v>
      </c>
      <c r="D840" s="1" t="s">
        <v>1224</v>
      </c>
      <c r="E840" s="1"/>
      <c r="F840" s="1" t="s">
        <v>2587</v>
      </c>
      <c r="G840" s="3" t="s">
        <v>2588</v>
      </c>
      <c r="H840" s="1"/>
      <c r="I840" s="1"/>
      <c r="J840" s="1" t="s">
        <v>2590</v>
      </c>
      <c r="K840" s="1" t="s">
        <v>2815</v>
      </c>
      <c r="L840" s="1"/>
      <c r="M840" s="1"/>
      <c r="N840" s="1"/>
      <c r="O840" s="1" t="s">
        <v>2815</v>
      </c>
      <c r="P840" s="9"/>
      <c r="R840" s="16">
        <f ca="1">IF(ISNUMBER(SEARCH(INDIRECT(CELL("address")),S840)),MAX($R$1:R839)+1,0)</f>
        <v>839</v>
      </c>
      <c r="S840" s="18" t="str">
        <f>Table1[[#This Row],[Portico_Specialty]]&amp;"-"&amp;Table1[[#This Row],[Code]]</f>
        <v>Spec/Tech, Pathology: Microbiology-246QM0900X</v>
      </c>
      <c r="U840" s="16" t="str">
        <f ca="1">IFERROR(VLOOKUP(ROWS($U$1:U839),$R$2:$S$918,2,FALSE),"")</f>
        <v>Spec/Tech, Pathology: Microbiology-246QM0900X</v>
      </c>
    </row>
    <row r="841" spans="1:22" x14ac:dyDescent="0.3">
      <c r="A841" s="21" t="s">
        <v>1519</v>
      </c>
      <c r="B841" s="21" t="str">
        <f>Table1[[#This Row],[Code]]&amp;" "&amp;Table1[[#This Row],[Portico_Specialty]]</f>
        <v>284300000X Special Hospital</v>
      </c>
      <c r="C841" s="21" t="str">
        <f>CLEAN(Table1[[#This Row],[Code]])</f>
        <v>284300000X</v>
      </c>
      <c r="D841" s="1" t="s">
        <v>1520</v>
      </c>
      <c r="E841" s="1"/>
      <c r="F841" s="1" t="s">
        <v>2587</v>
      </c>
      <c r="G841" s="4" t="s">
        <v>2593</v>
      </c>
      <c r="H841" s="1" t="s">
        <v>2642</v>
      </c>
      <c r="I841" s="1"/>
      <c r="J841" s="1" t="s">
        <v>2642</v>
      </c>
      <c r="K841" s="1" t="s">
        <v>2642</v>
      </c>
      <c r="L841" s="1" t="s">
        <v>2642</v>
      </c>
      <c r="M841" s="1" t="s">
        <v>2642</v>
      </c>
      <c r="N841" s="1" t="s">
        <v>2643</v>
      </c>
      <c r="O841" s="1" t="s">
        <v>2642</v>
      </c>
      <c r="P841" s="9"/>
      <c r="R841" s="16">
        <f ca="1">IF(ISNUMBER(SEARCH(INDIRECT(CELL("address")),S841)),MAX($R$1:R840)+1,0)</f>
        <v>840</v>
      </c>
      <c r="S841" s="18" t="str">
        <f>Table1[[#This Row],[Portico_Specialty]]&amp;"-"&amp;Table1[[#This Row],[Code]]</f>
        <v>Special Hospital-284300000X</v>
      </c>
      <c r="U841" s="16" t="str">
        <f ca="1">IFERROR(VLOOKUP(ROWS($U$1:U840),$R$2:$S$918,2,FALSE),"")</f>
        <v>Special Hospital-284300000X</v>
      </c>
    </row>
    <row r="842" spans="1:22" x14ac:dyDescent="0.3">
      <c r="A842" s="21" t="s">
        <v>479</v>
      </c>
      <c r="B842" s="21" t="str">
        <f>Table1[[#This Row],[Code]]&amp;" "&amp;Table1[[#This Row],[Portico_Specialty]]</f>
        <v>174400000X Specialist</v>
      </c>
      <c r="C842" s="21" t="str">
        <f>CLEAN(Table1[[#This Row],[Code]])</f>
        <v>174400000X</v>
      </c>
      <c r="D842" s="1" t="s">
        <v>480</v>
      </c>
      <c r="E842" s="1"/>
      <c r="F842" s="1" t="s">
        <v>2587</v>
      </c>
      <c r="G842" s="3" t="s">
        <v>2588</v>
      </c>
      <c r="H842" s="1" t="s">
        <v>2590</v>
      </c>
      <c r="I842" s="1"/>
      <c r="J842" s="1" t="s">
        <v>2590</v>
      </c>
      <c r="K842" s="1" t="s">
        <v>2614</v>
      </c>
      <c r="L842" s="1" t="s">
        <v>2590</v>
      </c>
      <c r="M842" s="1" t="s">
        <v>2615</v>
      </c>
      <c r="N842" s="1" t="s">
        <v>2590</v>
      </c>
      <c r="O842" s="1" t="s">
        <v>2614</v>
      </c>
      <c r="P842" s="9"/>
      <c r="R842" s="16">
        <f ca="1">IF(ISNUMBER(SEARCH(INDIRECT(CELL("address")),S842)),MAX($R$1:R841)+1,0)</f>
        <v>841</v>
      </c>
      <c r="S842" s="18" t="str">
        <f>Table1[[#This Row],[Portico_Specialty]]&amp;"-"&amp;Table1[[#This Row],[Code]]</f>
        <v>Specialist-174400000X</v>
      </c>
      <c r="U842" s="16" t="str">
        <f ca="1">IFERROR(VLOOKUP(ROWS($U$1:U841),$R$2:$S$918,2,FALSE),"")</f>
        <v>Specialist-174400000X</v>
      </c>
    </row>
    <row r="843" spans="1:22" customFormat="1" ht="30.75" x14ac:dyDescent="0.3">
      <c r="A843" s="21" t="s">
        <v>1067</v>
      </c>
      <c r="B843" s="21" t="str">
        <f>Table1[[#This Row],[Code]]&amp;" "&amp;Table1[[#This Row],[Portico_Specialty]]</f>
        <v>225500000X Specialist/Technologist (Respiratory &amp; Rehab)</v>
      </c>
      <c r="C843" s="21" t="str">
        <f>CLEAN(Table1[[#This Row],[Code]])</f>
        <v>225500000X</v>
      </c>
      <c r="D843" s="1" t="s">
        <v>1068</v>
      </c>
      <c r="E843" s="1"/>
      <c r="F843" s="1" t="s">
        <v>2587</v>
      </c>
      <c r="G843" s="31" t="s">
        <v>2588</v>
      </c>
      <c r="H843" s="1"/>
      <c r="I843" s="1"/>
      <c r="J843" s="1" t="s">
        <v>2590</v>
      </c>
      <c r="K843" s="1" t="s">
        <v>2600</v>
      </c>
      <c r="L843" s="1"/>
      <c r="M843" s="1" t="s">
        <v>2615</v>
      </c>
      <c r="N843" s="1"/>
      <c r="O843" s="1" t="s">
        <v>2600</v>
      </c>
      <c r="P843" s="32"/>
      <c r="R843" s="33">
        <f ca="1">IF(ISNUMBER(SEARCH(INDIRECT(CELL("address")),S843)),MAX($R$1:R842)+1,0)</f>
        <v>842</v>
      </c>
      <c r="S843" s="34" t="str">
        <f>Table1[[#This Row],[Portico_Specialty]]&amp;"-"&amp;Table1[[#This Row],[Code]]</f>
        <v>Specialist/Technologist (Respiratory &amp; Rehab)-225500000X</v>
      </c>
      <c r="T843" s="33"/>
      <c r="U843" s="33" t="str">
        <f ca="1">IFERROR(VLOOKUP(ROWS($U$1:U842),$R$2:$S$918,2,FALSE),"")</f>
        <v>Specialist/Technologist (Respiratory &amp; Rehab)-225500000X</v>
      </c>
      <c r="V843" s="33"/>
    </row>
    <row r="844" spans="1:22" x14ac:dyDescent="0.3">
      <c r="A844" s="21" t="s">
        <v>1185</v>
      </c>
      <c r="B844" s="21" t="str">
        <f>Table1[[#This Row],[Code]]&amp;" "&amp;Table1[[#This Row],[Portico_Specialty]]</f>
        <v>235500000X Specialist/Technologist (Speech &amp; Hearing)</v>
      </c>
      <c r="C844" s="21" t="str">
        <f>CLEAN(Table1[[#This Row],[Code]])</f>
        <v>235500000X</v>
      </c>
      <c r="D844" s="1" t="s">
        <v>1186</v>
      </c>
      <c r="E844" s="1"/>
      <c r="F844" s="1" t="s">
        <v>2587</v>
      </c>
      <c r="G844" s="3" t="s">
        <v>2588</v>
      </c>
      <c r="H844" s="1"/>
      <c r="I844" s="1"/>
      <c r="J844" s="1" t="s">
        <v>2590</v>
      </c>
      <c r="K844" s="1" t="s">
        <v>2651</v>
      </c>
      <c r="L844" s="1"/>
      <c r="M844" s="1"/>
      <c r="N844" s="1"/>
      <c r="O844" s="1" t="s">
        <v>2651</v>
      </c>
      <c r="P844" s="9"/>
      <c r="R844" s="16">
        <f ca="1">IF(ISNUMBER(SEARCH(INDIRECT(CELL("address")),S844)),MAX($R$1:R843)+1,0)</f>
        <v>843</v>
      </c>
      <c r="S844" s="18" t="str">
        <f>Table1[[#This Row],[Portico_Specialty]]&amp;"-"&amp;Table1[[#This Row],[Code]]</f>
        <v>Specialist/Technologist (Speech &amp; Hearing)-235500000X</v>
      </c>
      <c r="U844" s="16" t="str">
        <f ca="1">IFERROR(VLOOKUP(ROWS($U$1:U843),$R$2:$S$918,2,FALSE),"")</f>
        <v>Specialist/Technologist (Speech &amp; Hearing)-235500000X</v>
      </c>
    </row>
    <row r="845" spans="1:22" x14ac:dyDescent="0.3">
      <c r="A845" s="21" t="s">
        <v>1251</v>
      </c>
      <c r="B845" s="21" t="str">
        <f>Table1[[#This Row],[Code]]&amp;" "&amp;Table1[[#This Row],[Portico_Specialty]]</f>
        <v>246Z00000X Specialist/Technologist, Other</v>
      </c>
      <c r="C845" s="21" t="str">
        <f>CLEAN(Table1[[#This Row],[Code]])</f>
        <v>246Z00000X</v>
      </c>
      <c r="D845" s="1" t="s">
        <v>1252</v>
      </c>
      <c r="E845" s="1"/>
      <c r="F845" s="1" t="s">
        <v>2587</v>
      </c>
      <c r="G845" s="3" t="s">
        <v>2588</v>
      </c>
      <c r="H845" s="1" t="s">
        <v>2615</v>
      </c>
      <c r="I845" s="1"/>
      <c r="J845" s="1" t="s">
        <v>2590</v>
      </c>
      <c r="K845" s="1" t="s">
        <v>2682</v>
      </c>
      <c r="L845" s="1"/>
      <c r="M845" s="1" t="s">
        <v>2615</v>
      </c>
      <c r="N845" s="1"/>
      <c r="O845" s="1" t="s">
        <v>2682</v>
      </c>
      <c r="P845" s="9"/>
      <c r="R845" s="16">
        <f ca="1">IF(ISNUMBER(SEARCH(INDIRECT(CELL("address")),S845)),MAX($R$1:R844)+1,0)</f>
        <v>844</v>
      </c>
      <c r="S845" s="18" t="str">
        <f>Table1[[#This Row],[Portico_Specialty]]&amp;"-"&amp;Table1[[#This Row],[Code]]</f>
        <v>Specialist/Technologist, Other-246Z00000X</v>
      </c>
      <c r="U845" s="16" t="str">
        <f ca="1">IFERROR(VLOOKUP(ROWS($U$1:U844),$R$2:$S$918,2,FALSE),"")</f>
        <v>Specialist/Technologist, Other-246Z00000X</v>
      </c>
    </row>
    <row r="846" spans="1:22" x14ac:dyDescent="0.3">
      <c r="A846" s="21" t="s">
        <v>1253</v>
      </c>
      <c r="B846" s="21" t="str">
        <f>Table1[[#This Row],[Code]]&amp;" "&amp;Table1[[#This Row],[Portico_Specialty]]</f>
        <v>246ZA2600X Specialist/Technologist, Other: Art, Medical</v>
      </c>
      <c r="C846" s="21" t="str">
        <f>CLEAN(Table1[[#This Row],[Code]])</f>
        <v>246ZA2600X</v>
      </c>
      <c r="D846" s="1" t="s">
        <v>1254</v>
      </c>
      <c r="E846" s="1"/>
      <c r="F846" s="1" t="s">
        <v>2587</v>
      </c>
      <c r="G846" s="3" t="s">
        <v>2588</v>
      </c>
      <c r="H846" s="1"/>
      <c r="I846" s="1"/>
      <c r="J846" s="1" t="s">
        <v>2590</v>
      </c>
      <c r="K846" s="1" t="s">
        <v>2682</v>
      </c>
      <c r="L846" s="1"/>
      <c r="M846" s="1"/>
      <c r="N846" s="1"/>
      <c r="O846" s="1" t="s">
        <v>2682</v>
      </c>
      <c r="P846" s="9"/>
      <c r="R846" s="16">
        <f ca="1">IF(ISNUMBER(SEARCH(INDIRECT(CELL("address")),S846)),MAX($R$1:R845)+1,0)</f>
        <v>845</v>
      </c>
      <c r="S846" s="18" t="str">
        <f>Table1[[#This Row],[Portico_Specialty]]&amp;"-"&amp;Table1[[#This Row],[Code]]</f>
        <v>Specialist/Technologist, Other: Art, Medical-246ZA2600X</v>
      </c>
      <c r="U846" s="16" t="str">
        <f ca="1">IFERROR(VLOOKUP(ROWS($U$1:U845),$R$2:$S$918,2,FALSE),"")</f>
        <v>Specialist/Technologist, Other: Art, Medical-246ZA2600X</v>
      </c>
    </row>
    <row r="847" spans="1:22" x14ac:dyDescent="0.3">
      <c r="A847" s="21" t="s">
        <v>1259</v>
      </c>
      <c r="B847" s="21" t="str">
        <f>Table1[[#This Row],[Code]]&amp;" "&amp;Table1[[#This Row],[Portico_Specialty]]</f>
        <v>246ZB0500X Specialist/Technologist, Other: Biochemist</v>
      </c>
      <c r="C847" s="21" t="str">
        <f>CLEAN(Table1[[#This Row],[Code]])</f>
        <v>246ZB0500X</v>
      </c>
      <c r="D847" s="1" t="s">
        <v>1260</v>
      </c>
      <c r="E847" s="1"/>
      <c r="F847" s="1" t="s">
        <v>2587</v>
      </c>
      <c r="G847" s="3" t="s">
        <v>2588</v>
      </c>
      <c r="H847" s="1" t="s">
        <v>2615</v>
      </c>
      <c r="I847" s="1"/>
      <c r="J847" s="1" t="s">
        <v>2590</v>
      </c>
      <c r="K847" s="1" t="s">
        <v>2682</v>
      </c>
      <c r="L847" s="1"/>
      <c r="M847" s="1"/>
      <c r="N847" s="1"/>
      <c r="O847" s="1" t="s">
        <v>2682</v>
      </c>
      <c r="P847" s="9"/>
      <c r="R847" s="16">
        <f ca="1">IF(ISNUMBER(SEARCH(INDIRECT(CELL("address")),S847)),MAX($R$1:R846)+1,0)</f>
        <v>846</v>
      </c>
      <c r="S847" s="18" t="str">
        <f>Table1[[#This Row],[Portico_Specialty]]&amp;"-"&amp;Table1[[#This Row],[Code]]</f>
        <v>Specialist/Technologist, Other: Biochemist-246ZB0500X</v>
      </c>
      <c r="U847" s="16" t="str">
        <f ca="1">IFERROR(VLOOKUP(ROWS($U$1:U846),$R$2:$S$918,2,FALSE),"")</f>
        <v>Specialist/Technologist, Other: Biochemist-246ZB0500X</v>
      </c>
    </row>
    <row r="848" spans="1:22" ht="30.75" x14ac:dyDescent="0.3">
      <c r="A848" s="21" t="s">
        <v>1255</v>
      </c>
      <c r="B848" s="21" t="str">
        <f>Table1[[#This Row],[Code]]&amp;" "&amp;Table1[[#This Row],[Portico_Specialty]]</f>
        <v>246ZB0301X Specialist/Technologist, Other: Biomedical Engineering</v>
      </c>
      <c r="C848" s="21" t="str">
        <f>CLEAN(Table1[[#This Row],[Code]])</f>
        <v>246ZB0301X</v>
      </c>
      <c r="D848" s="1" t="s">
        <v>1256</v>
      </c>
      <c r="E848" s="1"/>
      <c r="F848" s="1" t="s">
        <v>2587</v>
      </c>
      <c r="G848" s="3" t="s">
        <v>2588</v>
      </c>
      <c r="H848" s="1" t="s">
        <v>2615</v>
      </c>
      <c r="I848" s="1"/>
      <c r="J848" s="1" t="s">
        <v>2590</v>
      </c>
      <c r="K848" s="1" t="s">
        <v>2682</v>
      </c>
      <c r="L848" s="1"/>
      <c r="M848" s="1"/>
      <c r="N848" s="1"/>
      <c r="O848" s="1" t="s">
        <v>2682</v>
      </c>
      <c r="P848" s="9"/>
      <c r="R848" s="16">
        <f ca="1">IF(ISNUMBER(SEARCH(INDIRECT(CELL("address")),S848)),MAX($R$1:R847)+1,0)</f>
        <v>847</v>
      </c>
      <c r="S848" s="18" t="str">
        <f>Table1[[#This Row],[Portico_Specialty]]&amp;"-"&amp;Table1[[#This Row],[Code]]</f>
        <v>Specialist/Technologist, Other: Biomedical Engineering-246ZB0301X</v>
      </c>
      <c r="U848" s="16" t="str">
        <f ca="1">IFERROR(VLOOKUP(ROWS($U$1:U847),$R$2:$S$918,2,FALSE),"")</f>
        <v>Specialist/Technologist, Other: Biomedical Engineering-246ZB0301X</v>
      </c>
    </row>
    <row r="849" spans="1:22" ht="30.75" x14ac:dyDescent="0.3">
      <c r="A849" s="21" t="s">
        <v>1257</v>
      </c>
      <c r="B849" s="21" t="str">
        <f>Table1[[#This Row],[Code]]&amp;" "&amp;Table1[[#This Row],[Portico_Specialty]]</f>
        <v>246ZB0302X Specialist/Technologist, Other: Biomedical Photographer</v>
      </c>
      <c r="C849" s="21" t="str">
        <f>CLEAN(Table1[[#This Row],[Code]])</f>
        <v>246ZB0302X</v>
      </c>
      <c r="D849" s="1" t="s">
        <v>1258</v>
      </c>
      <c r="E849" s="1"/>
      <c r="F849" s="1" t="s">
        <v>2587</v>
      </c>
      <c r="G849" s="3" t="s">
        <v>2588</v>
      </c>
      <c r="H849" s="1" t="s">
        <v>2615</v>
      </c>
      <c r="I849" s="1"/>
      <c r="J849" s="1" t="s">
        <v>2590</v>
      </c>
      <c r="K849" s="1" t="s">
        <v>2682</v>
      </c>
      <c r="L849" s="1"/>
      <c r="M849" s="1"/>
      <c r="N849" s="1"/>
      <c r="O849" s="1" t="s">
        <v>2682</v>
      </c>
      <c r="P849" s="9"/>
      <c r="R849" s="16">
        <f ca="1">IF(ISNUMBER(SEARCH(INDIRECT(CELL("address")),S849)),MAX($R$1:R848)+1,0)</f>
        <v>848</v>
      </c>
      <c r="S849" s="18" t="str">
        <f>Table1[[#This Row],[Portico_Specialty]]&amp;"-"&amp;Table1[[#This Row],[Code]]</f>
        <v>Specialist/Technologist, Other: Biomedical Photographer-246ZB0302X</v>
      </c>
      <c r="U849" s="16" t="str">
        <f ca="1">IFERROR(VLOOKUP(ROWS($U$1:U848),$R$2:$S$918,2,FALSE),"")</f>
        <v>Specialist/Technologist, Other: Biomedical Photographer-246ZB0302X</v>
      </c>
    </row>
    <row r="850" spans="1:22" ht="30.75" x14ac:dyDescent="0.3">
      <c r="A850" s="21" t="s">
        <v>1261</v>
      </c>
      <c r="B850" s="21" t="str">
        <f>Table1[[#This Row],[Code]]&amp;" "&amp;Table1[[#This Row],[Portico_Specialty]]</f>
        <v>246ZB0600X Specialist/Technologist, Other: Biostatistician</v>
      </c>
      <c r="C850" s="21" t="str">
        <f>CLEAN(Table1[[#This Row],[Code]])</f>
        <v>246ZB0600X</v>
      </c>
      <c r="D850" s="1" t="s">
        <v>1262</v>
      </c>
      <c r="E850" s="1"/>
      <c r="F850" s="1" t="s">
        <v>2587</v>
      </c>
      <c r="G850" s="3" t="s">
        <v>2588</v>
      </c>
      <c r="H850" s="1" t="s">
        <v>2615</v>
      </c>
      <c r="I850" s="1"/>
      <c r="J850" s="1" t="s">
        <v>2590</v>
      </c>
      <c r="K850" s="1" t="s">
        <v>2682</v>
      </c>
      <c r="L850" s="1"/>
      <c r="M850" s="1"/>
      <c r="N850" s="1"/>
      <c r="O850" s="1" t="s">
        <v>2682</v>
      </c>
      <c r="P850" s="9"/>
      <c r="R850" s="16">
        <f ca="1">IF(ISNUMBER(SEARCH(INDIRECT(CELL("address")),S850)),MAX($R$1:R849)+1,0)</f>
        <v>849</v>
      </c>
      <c r="S850" s="18" t="str">
        <f>Table1[[#This Row],[Portico_Specialty]]&amp;"-"&amp;Table1[[#This Row],[Code]]</f>
        <v>Specialist/Technologist, Other: Biostatistician-246ZB0600X</v>
      </c>
      <c r="U850" s="16" t="str">
        <f ca="1">IFERROR(VLOOKUP(ROWS($U$1:U849),$R$2:$S$918,2,FALSE),"")</f>
        <v>Specialist/Technologist, Other: Biostatistician-246ZB0600X</v>
      </c>
    </row>
    <row r="851" spans="1:22" ht="30.75" x14ac:dyDescent="0.3">
      <c r="A851" s="21" t="s">
        <v>1263</v>
      </c>
      <c r="B851" s="21" t="str">
        <f>Table1[[#This Row],[Code]]&amp;" "&amp;Table1[[#This Row],[Portico_Specialty]]</f>
        <v>246ZC0007X Specialist/Technologist, Other: Certified First Assistant</v>
      </c>
      <c r="C851" s="21" t="str">
        <f>CLEAN(Table1[[#This Row],[Code]])</f>
        <v>246ZC0007X</v>
      </c>
      <c r="D851" s="1" t="s">
        <v>1264</v>
      </c>
      <c r="E851" s="1"/>
      <c r="F851" s="1" t="s">
        <v>2587</v>
      </c>
      <c r="G851" s="3" t="s">
        <v>2588</v>
      </c>
      <c r="H851" s="1"/>
      <c r="I851" s="1"/>
      <c r="J851" s="1" t="s">
        <v>2590</v>
      </c>
      <c r="K851" s="1" t="s">
        <v>2590</v>
      </c>
      <c r="L851" s="1"/>
      <c r="M851" s="1" t="s">
        <v>2615</v>
      </c>
      <c r="N851" s="1" t="s">
        <v>2615</v>
      </c>
      <c r="O851" s="1" t="s">
        <v>2590</v>
      </c>
      <c r="P851" s="9"/>
      <c r="R851" s="16">
        <f ca="1">IF(ISNUMBER(SEARCH(INDIRECT(CELL("address")),S851)),MAX($R$1:R850)+1,0)</f>
        <v>850</v>
      </c>
      <c r="S851" s="18" t="str">
        <f>Table1[[#This Row],[Portico_Specialty]]&amp;"-"&amp;Table1[[#This Row],[Code]]</f>
        <v>Specialist/Technologist, Other: Certified First Assistant-246ZC0007X</v>
      </c>
      <c r="U851" s="16" t="str">
        <f ca="1">IFERROR(VLOOKUP(ROWS($U$1:U850),$R$2:$S$918,2,FALSE),"")</f>
        <v>Specialist/Technologist, Other: Certified First Assistant-246ZC0007X</v>
      </c>
    </row>
    <row r="852" spans="1:22" x14ac:dyDescent="0.3">
      <c r="A852" s="21" t="s">
        <v>1265</v>
      </c>
      <c r="B852" s="21" t="str">
        <f>Table1[[#This Row],[Code]]&amp;" "&amp;Table1[[#This Row],[Portico_Specialty]]</f>
        <v>246ZE0500X Specialist/Technologist, Other: EEG</v>
      </c>
      <c r="C852" s="21" t="str">
        <f>CLEAN(Table1[[#This Row],[Code]])</f>
        <v>246ZE0500X</v>
      </c>
      <c r="D852" s="1" t="s">
        <v>1266</v>
      </c>
      <c r="E852" s="1"/>
      <c r="F852" s="1" t="s">
        <v>2587</v>
      </c>
      <c r="G852" s="3" t="s">
        <v>2588</v>
      </c>
      <c r="H852" s="1" t="s">
        <v>2615</v>
      </c>
      <c r="I852" s="1"/>
      <c r="J852" s="1" t="s">
        <v>2590</v>
      </c>
      <c r="K852" s="1" t="s">
        <v>2590</v>
      </c>
      <c r="L852" s="1"/>
      <c r="M852" s="1"/>
      <c r="N852" s="1"/>
      <c r="O852" s="1" t="s">
        <v>2590</v>
      </c>
      <c r="P852" s="9"/>
      <c r="R852" s="16">
        <f ca="1">IF(ISNUMBER(SEARCH(INDIRECT(CELL("address")),S852)),MAX($R$1:R851)+1,0)</f>
        <v>851</v>
      </c>
      <c r="S852" s="18" t="str">
        <f>Table1[[#This Row],[Portico_Specialty]]&amp;"-"&amp;Table1[[#This Row],[Code]]</f>
        <v>Specialist/Technologist, Other: EEG-246ZE0500X</v>
      </c>
      <c r="U852" s="16" t="str">
        <f ca="1">IFERROR(VLOOKUP(ROWS($U$1:U851),$R$2:$S$918,2,FALSE),"")</f>
        <v>Specialist/Technologist, Other: EEG-246ZE0500X</v>
      </c>
    </row>
    <row r="853" spans="1:22" ht="30.75" x14ac:dyDescent="0.3">
      <c r="A853" s="21" t="s">
        <v>1267</v>
      </c>
      <c r="B853" s="21" t="str">
        <f>Table1[[#This Row],[Code]]&amp;" "&amp;Table1[[#This Row],[Portico_Specialty]]</f>
        <v>246ZE0600X Specialist/Technologist, Other: Electroneurodiagnostic</v>
      </c>
      <c r="C853" s="21" t="str">
        <f>CLEAN(Table1[[#This Row],[Code]])</f>
        <v>246ZE0600X</v>
      </c>
      <c r="D853" s="1" t="s">
        <v>1268</v>
      </c>
      <c r="E853" s="1"/>
      <c r="F853" s="1" t="s">
        <v>2587</v>
      </c>
      <c r="G853" s="3" t="s">
        <v>2588</v>
      </c>
      <c r="H853" s="1" t="s">
        <v>2615</v>
      </c>
      <c r="I853" s="1"/>
      <c r="J853" s="1" t="s">
        <v>2590</v>
      </c>
      <c r="K853" s="1" t="s">
        <v>2590</v>
      </c>
      <c r="L853" s="1" t="s">
        <v>2713</v>
      </c>
      <c r="M853" s="1" t="s">
        <v>2615</v>
      </c>
      <c r="N853" s="1" t="s">
        <v>2615</v>
      </c>
      <c r="O853" s="1" t="s">
        <v>2590</v>
      </c>
      <c r="P853" s="9"/>
      <c r="R853" s="16">
        <f ca="1">IF(ISNUMBER(SEARCH(INDIRECT(CELL("address")),S853)),MAX($R$1:R852)+1,0)</f>
        <v>852</v>
      </c>
      <c r="S853" s="18" t="str">
        <f>Table1[[#This Row],[Portico_Specialty]]&amp;"-"&amp;Table1[[#This Row],[Code]]</f>
        <v>Specialist/Technologist, Other: Electroneurodiagnostic-246ZE0600X</v>
      </c>
      <c r="U853" s="16" t="str">
        <f ca="1">IFERROR(VLOOKUP(ROWS($U$1:U852),$R$2:$S$918,2,FALSE),"")</f>
        <v>Specialist/Technologist, Other: Electroneurodiagnostic-246ZE0600X</v>
      </c>
    </row>
    <row r="854" spans="1:22" ht="30.75" x14ac:dyDescent="0.3">
      <c r="A854" s="21" t="s">
        <v>1271</v>
      </c>
      <c r="B854" s="21" t="str">
        <f>Table1[[#This Row],[Code]]&amp;" "&amp;Table1[[#This Row],[Portico_Specialty]]</f>
        <v>246ZG1000X Specialist/Technologist, Other: Geneticist, Medical (PhD)</v>
      </c>
      <c r="C854" s="21" t="str">
        <f>CLEAN(Table1[[#This Row],[Code]])</f>
        <v>246ZG1000X</v>
      </c>
      <c r="D854" s="1" t="s">
        <v>1272</v>
      </c>
      <c r="E854" s="1"/>
      <c r="F854" s="1" t="s">
        <v>2587</v>
      </c>
      <c r="G854" s="3" t="s">
        <v>2588</v>
      </c>
      <c r="H854" s="1" t="s">
        <v>2615</v>
      </c>
      <c r="I854" s="1"/>
      <c r="J854" s="1" t="s">
        <v>2590</v>
      </c>
      <c r="K854" s="1" t="s">
        <v>2650</v>
      </c>
      <c r="L854" s="1"/>
      <c r="M854" s="1"/>
      <c r="N854" s="1"/>
      <c r="O854" s="1" t="s">
        <v>2650</v>
      </c>
      <c r="P854" s="9"/>
      <c r="R854" s="16">
        <f ca="1">IF(ISNUMBER(SEARCH(INDIRECT(CELL("address")),S854)),MAX($R$1:R853)+1,0)</f>
        <v>853</v>
      </c>
      <c r="S854" s="18" t="str">
        <f>Table1[[#This Row],[Portico_Specialty]]&amp;"-"&amp;Table1[[#This Row],[Code]]</f>
        <v>Specialist/Technologist, Other: Geneticist, Medical (PhD)-246ZG1000X</v>
      </c>
      <c r="U854" s="16" t="str">
        <f ca="1">IFERROR(VLOOKUP(ROWS($U$1:U853),$R$2:$S$918,2,FALSE),"")</f>
        <v>Specialist/Technologist, Other: Geneticist, Medical (PhD)-246ZG1000X</v>
      </c>
    </row>
    <row r="855" spans="1:22" ht="30.75" x14ac:dyDescent="0.3">
      <c r="A855" s="21" t="s">
        <v>1269</v>
      </c>
      <c r="B855" s="21" t="str">
        <f>Table1[[#This Row],[Code]]&amp;" "&amp;Table1[[#This Row],[Portico_Specialty]]</f>
        <v>246ZG0701X Specialist/Technologist, Other: Graphics Methods</v>
      </c>
      <c r="C855" s="21" t="str">
        <f>CLEAN(Table1[[#This Row],[Code]])</f>
        <v>246ZG0701X</v>
      </c>
      <c r="D855" s="1" t="s">
        <v>1270</v>
      </c>
      <c r="E855" s="1"/>
      <c r="F855" s="1" t="s">
        <v>2587</v>
      </c>
      <c r="G855" s="3" t="s">
        <v>2588</v>
      </c>
      <c r="H855" s="1"/>
      <c r="I855" s="1"/>
      <c r="J855" s="1" t="s">
        <v>2590</v>
      </c>
      <c r="K855" s="1" t="s">
        <v>2682</v>
      </c>
      <c r="L855" s="1"/>
      <c r="M855" s="1"/>
      <c r="N855" s="1"/>
      <c r="O855" s="1" t="s">
        <v>2682</v>
      </c>
      <c r="P855" s="9"/>
      <c r="R855" s="16">
        <f ca="1">IF(ISNUMBER(SEARCH(INDIRECT(CELL("address")),S855)),MAX($R$1:R854)+1,0)</f>
        <v>854</v>
      </c>
      <c r="S855" s="18" t="str">
        <f>Table1[[#This Row],[Portico_Specialty]]&amp;"-"&amp;Table1[[#This Row],[Code]]</f>
        <v>Specialist/Technologist, Other: Graphics Methods-246ZG0701X</v>
      </c>
      <c r="U855" s="16" t="str">
        <f ca="1">IFERROR(VLOOKUP(ROWS($U$1:U854),$R$2:$S$918,2,FALSE),"")</f>
        <v>Specialist/Technologist, Other: Graphics Methods-246ZG0701X</v>
      </c>
    </row>
    <row r="856" spans="1:22" s="28" customFormat="1" ht="30.75" x14ac:dyDescent="0.3">
      <c r="A856" s="24" t="s">
        <v>1273</v>
      </c>
      <c r="B856" s="24" t="str">
        <f>Table1[[#This Row],[Code]]&amp;" "&amp;Table1[[#This Row],[Portico_Specialty]]</f>
        <v>246ZI1000X Specialist/Technologist, Other: Illustration, Medical</v>
      </c>
      <c r="C856" s="24" t="str">
        <f>CLEAN(Table1[[#This Row],[Code]])</f>
        <v>246ZI1000X</v>
      </c>
      <c r="D856" s="25" t="s">
        <v>1274</v>
      </c>
      <c r="E856" s="25"/>
      <c r="F856" s="25" t="s">
        <v>2587</v>
      </c>
      <c r="G856" s="26" t="s">
        <v>2588</v>
      </c>
      <c r="H856" s="25"/>
      <c r="I856" s="25"/>
      <c r="J856" s="25" t="s">
        <v>2590</v>
      </c>
      <c r="K856" s="25" t="s">
        <v>2682</v>
      </c>
      <c r="L856" s="25"/>
      <c r="M856" s="25"/>
      <c r="N856" s="25"/>
      <c r="O856" s="25" t="s">
        <v>2682</v>
      </c>
      <c r="P856" s="27"/>
      <c r="R856" s="29">
        <f ca="1">IF(ISNUMBER(SEARCH(INDIRECT(CELL("address")),S856)),MAX($R$1:R855)+1,0)</f>
        <v>855</v>
      </c>
      <c r="S856" s="30" t="str">
        <f>Table1[[#This Row],[Portico_Specialty]]&amp;"-"&amp;Table1[[#This Row],[Code]]</f>
        <v>Specialist/Technologist, Other: Illustration, Medical-246ZI1000X</v>
      </c>
      <c r="T856" s="29"/>
      <c r="U856" s="29" t="str">
        <f ca="1">IFERROR(VLOOKUP(ROWS($U$1:U855),$R$2:$S$918,2,FALSE),"")</f>
        <v>Specialist/Technologist, Other: Illustration, Medical-246ZI1000X</v>
      </c>
      <c r="V856" s="29"/>
    </row>
    <row r="857" spans="1:22" x14ac:dyDescent="0.3">
      <c r="A857" s="21" t="s">
        <v>1275</v>
      </c>
      <c r="B857" s="21" t="str">
        <f>Table1[[#This Row],[Code]]&amp;" "&amp;Table1[[#This Row],[Portico_Specialty]]</f>
        <v>246ZN0300X Specialist/Technologist, Other: Nephrology</v>
      </c>
      <c r="C857" s="21" t="str">
        <f>CLEAN(Table1[[#This Row],[Code]])</f>
        <v>246ZN0300X</v>
      </c>
      <c r="D857" s="1" t="s">
        <v>1276</v>
      </c>
      <c r="E857" s="1"/>
      <c r="F857" s="1" t="s">
        <v>2587</v>
      </c>
      <c r="G857" s="3" t="s">
        <v>2588</v>
      </c>
      <c r="H857" s="1" t="s">
        <v>2615</v>
      </c>
      <c r="I857" s="1"/>
      <c r="J857" s="1" t="s">
        <v>2590</v>
      </c>
      <c r="K857" s="1" t="s">
        <v>2729</v>
      </c>
      <c r="L857" s="1"/>
      <c r="M857" s="1"/>
      <c r="N857" s="1"/>
      <c r="O857" s="1" t="s">
        <v>2729</v>
      </c>
      <c r="P857" s="9"/>
      <c r="R857" s="16">
        <f ca="1">IF(ISNUMBER(SEARCH(INDIRECT(CELL("address")),S857)),MAX($R$1:R856)+1,0)</f>
        <v>856</v>
      </c>
      <c r="S857" s="18" t="str">
        <f>Table1[[#This Row],[Portico_Specialty]]&amp;"-"&amp;Table1[[#This Row],[Code]]</f>
        <v>Specialist/Technologist, Other: Nephrology-246ZN0300X</v>
      </c>
      <c r="U857" s="16" t="str">
        <f ca="1">IFERROR(VLOOKUP(ROWS($U$1:U856),$R$2:$S$918,2,FALSE),"")</f>
        <v>Specialist/Technologist, Other: Nephrology-246ZN0300X</v>
      </c>
    </row>
    <row r="858" spans="1:22" ht="30.75" x14ac:dyDescent="0.3">
      <c r="A858" s="21" t="s">
        <v>1281</v>
      </c>
      <c r="B858" s="21" t="str">
        <f>Table1[[#This Row],[Code]]&amp;" "&amp;Table1[[#This Row],[Portico_Specialty]]</f>
        <v>246ZX2200X Specialist/Technologist, Other: Orthopedic Assistant</v>
      </c>
      <c r="C858" s="21" t="str">
        <f>CLEAN(Table1[[#This Row],[Code]])</f>
        <v>246ZX2200X</v>
      </c>
      <c r="D858" s="1" t="s">
        <v>1282</v>
      </c>
      <c r="E858" s="1"/>
      <c r="F858" s="1" t="s">
        <v>2587</v>
      </c>
      <c r="G858" s="3" t="s">
        <v>2588</v>
      </c>
      <c r="H858" s="1"/>
      <c r="I858" s="1"/>
      <c r="J858" s="1" t="s">
        <v>2590</v>
      </c>
      <c r="K858" s="1" t="s">
        <v>2808</v>
      </c>
      <c r="L858" s="1"/>
      <c r="M858" s="1"/>
      <c r="N858" s="1"/>
      <c r="O858" s="1" t="s">
        <v>2808</v>
      </c>
      <c r="P858" s="9"/>
      <c r="R858" s="16">
        <f ca="1">IF(ISNUMBER(SEARCH(INDIRECT(CELL("address")),S858)),MAX($R$1:R857)+1,0)</f>
        <v>857</v>
      </c>
      <c r="S858" s="18" t="str">
        <f>Table1[[#This Row],[Portico_Specialty]]&amp;"-"&amp;Table1[[#This Row],[Code]]</f>
        <v>Specialist/Technologist, Other: Orthopedic Assistant-246ZX2200X</v>
      </c>
      <c r="U858" s="16" t="str">
        <f ca="1">IFERROR(VLOOKUP(ROWS($U$1:U857),$R$2:$S$918,2,FALSE),"")</f>
        <v>Specialist/Technologist, Other: Orthopedic Assistant-246ZX2200X</v>
      </c>
    </row>
    <row r="859" spans="1:22" x14ac:dyDescent="0.3">
      <c r="A859" s="21" t="s">
        <v>1277</v>
      </c>
      <c r="B859" s="21" t="str">
        <f>Table1[[#This Row],[Code]]&amp;" "&amp;Table1[[#This Row],[Portico_Specialty]]</f>
        <v>246ZS0400X Specialist/Technologist, Other: Surgical</v>
      </c>
      <c r="C859" s="21" t="str">
        <f>CLEAN(Table1[[#This Row],[Code]])</f>
        <v>246ZS0400X</v>
      </c>
      <c r="D859" s="1" t="s">
        <v>1278</v>
      </c>
      <c r="E859" s="1"/>
      <c r="F859" s="1" t="s">
        <v>2587</v>
      </c>
      <c r="G859" s="3" t="s">
        <v>2588</v>
      </c>
      <c r="H859" s="1" t="s">
        <v>2615</v>
      </c>
      <c r="I859" s="1"/>
      <c r="J859" s="1" t="s">
        <v>2590</v>
      </c>
      <c r="K859" s="1" t="s">
        <v>2875</v>
      </c>
      <c r="L859" s="1"/>
      <c r="M859" s="1" t="s">
        <v>2615</v>
      </c>
      <c r="N859" s="1" t="s">
        <v>2615</v>
      </c>
      <c r="O859" s="1" t="s">
        <v>2875</v>
      </c>
      <c r="P859" s="9"/>
      <c r="R859" s="16">
        <f ca="1">IF(ISNUMBER(SEARCH(INDIRECT(CELL("address")),S859)),MAX($R$1:R858)+1,0)</f>
        <v>858</v>
      </c>
      <c r="S859" s="18" t="str">
        <f>Table1[[#This Row],[Portico_Specialty]]&amp;"-"&amp;Table1[[#This Row],[Code]]</f>
        <v>Specialist/Technologist, Other: Surgical-246ZS0400X</v>
      </c>
      <c r="U859" s="16" t="str">
        <f ca="1">IFERROR(VLOOKUP(ROWS($U$1:U858),$R$2:$S$918,2,FALSE),"")</f>
        <v>Specialist/Technologist, Other: Surgical-246ZS0400X</v>
      </c>
    </row>
    <row r="860" spans="1:22" ht="30.75" x14ac:dyDescent="0.3">
      <c r="A860" s="21" t="s">
        <v>1279</v>
      </c>
      <c r="B860" s="21" t="str">
        <f>Table1[[#This Row],[Code]]&amp;" "&amp;Table1[[#This Row],[Portico_Specialty]]</f>
        <v>246ZS0410X Specialist/Technologist, Other: Surgical Technologist</v>
      </c>
      <c r="C860" s="21" t="str">
        <f>CLEAN(Table1[[#This Row],[Code]])</f>
        <v>246ZS0410X</v>
      </c>
      <c r="D860" s="1" t="s">
        <v>1280</v>
      </c>
      <c r="E860" s="1"/>
      <c r="F860" s="1" t="s">
        <v>2587</v>
      </c>
      <c r="G860" s="3" t="s">
        <v>2588</v>
      </c>
      <c r="H860" s="1"/>
      <c r="I860" s="1"/>
      <c r="J860" s="1" t="s">
        <v>2875</v>
      </c>
      <c r="K860" s="1" t="s">
        <v>2875</v>
      </c>
      <c r="L860" s="1"/>
      <c r="M860" s="1"/>
      <c r="N860" s="1"/>
      <c r="O860" s="1" t="s">
        <v>2875</v>
      </c>
      <c r="P860" s="9"/>
      <c r="R860" s="16">
        <f ca="1">IF(ISNUMBER(SEARCH(INDIRECT(CELL("address")),S860)),MAX($R$1:R859)+1,0)</f>
        <v>859</v>
      </c>
      <c r="S860" s="18" t="str">
        <f>Table1[[#This Row],[Portico_Specialty]]&amp;"-"&amp;Table1[[#This Row],[Code]]</f>
        <v>Specialist/Technologist, Other: Surgical Technologist-246ZS0410X</v>
      </c>
      <c r="U860" s="16" t="str">
        <f ca="1">IFERROR(VLOOKUP(ROWS($U$1:U859),$R$2:$S$918,2,FALSE),"")</f>
        <v>Specialist/Technologist, Other: Surgical Technologist-246ZS0410X</v>
      </c>
    </row>
    <row r="861" spans="1:22" x14ac:dyDescent="0.3">
      <c r="A861" s="21" t="s">
        <v>1069</v>
      </c>
      <c r="B861" s="21" t="str">
        <f>Table1[[#This Row],[Code]]&amp;" "&amp;Table1[[#This Row],[Portico_Specialty]]</f>
        <v>2255A2300X Specialist/Technologist: Athletic Trainer</v>
      </c>
      <c r="C861" s="21" t="str">
        <f>CLEAN(Table1[[#This Row],[Code]])</f>
        <v>2255A2300X</v>
      </c>
      <c r="D861" s="1" t="s">
        <v>1070</v>
      </c>
      <c r="E861" s="1"/>
      <c r="F861" s="1" t="s">
        <v>2587</v>
      </c>
      <c r="G861" s="3" t="s">
        <v>2588</v>
      </c>
      <c r="H861" s="1" t="s">
        <v>2615</v>
      </c>
      <c r="I861" s="1"/>
      <c r="J861" s="1" t="s">
        <v>2590</v>
      </c>
      <c r="K861" s="1" t="s">
        <v>2600</v>
      </c>
      <c r="L861" s="1" t="s">
        <v>2600</v>
      </c>
      <c r="M861" s="1"/>
      <c r="N861" s="1" t="s">
        <v>2615</v>
      </c>
      <c r="O861" s="1" t="s">
        <v>2600</v>
      </c>
      <c r="P861" s="9"/>
      <c r="R861" s="16">
        <f ca="1">IF(ISNUMBER(SEARCH(INDIRECT(CELL("address")),S861)),MAX($R$1:R860)+1,0)</f>
        <v>860</v>
      </c>
      <c r="S861" s="18" t="str">
        <f>Table1[[#This Row],[Portico_Specialty]]&amp;"-"&amp;Table1[[#This Row],[Code]]</f>
        <v>Specialist/Technologist: Athletic Trainer-2255A2300X</v>
      </c>
      <c r="U861" s="16" t="str">
        <f ca="1">IFERROR(VLOOKUP(ROWS($U$1:U860),$R$2:$S$918,2,FALSE),"")</f>
        <v>Specialist/Technologist: Athletic Trainer-2255A2300X</v>
      </c>
    </row>
    <row r="862" spans="1:22" ht="30.75" x14ac:dyDescent="0.3">
      <c r="A862" s="21" t="s">
        <v>1187</v>
      </c>
      <c r="B862" s="21" t="str">
        <f>Table1[[#This Row],[Code]]&amp;" "&amp;Table1[[#This Row],[Portico_Specialty]]</f>
        <v>2355A2700X Specialist/Technologist: Audiology Assistant</v>
      </c>
      <c r="C862" s="21" t="str">
        <f>CLEAN(Table1[[#This Row],[Code]])</f>
        <v>2355A2700X</v>
      </c>
      <c r="D862" s="1" t="s">
        <v>1188</v>
      </c>
      <c r="E862" s="1"/>
      <c r="F862" s="1" t="s">
        <v>2587</v>
      </c>
      <c r="G862" s="3" t="s">
        <v>2588</v>
      </c>
      <c r="H862" s="1"/>
      <c r="I862" s="1"/>
      <c r="J862" s="1" t="s">
        <v>2590</v>
      </c>
      <c r="K862" s="1" t="s">
        <v>2611</v>
      </c>
      <c r="L862" s="1"/>
      <c r="M862" s="1"/>
      <c r="N862" s="1"/>
      <c r="O862" s="1" t="s">
        <v>2611</v>
      </c>
      <c r="P862" s="9"/>
      <c r="R862" s="16">
        <f ca="1">IF(ISNUMBER(SEARCH(INDIRECT(CELL("address")),S862)),MAX($R$1:R861)+1,0)</f>
        <v>861</v>
      </c>
      <c r="S862" s="18" t="str">
        <f>Table1[[#This Row],[Portico_Specialty]]&amp;"-"&amp;Table1[[#This Row],[Code]]</f>
        <v>Specialist/Technologist: Audiology Assistant-2355A2700X</v>
      </c>
      <c r="U862" s="16" t="str">
        <f ca="1">IFERROR(VLOOKUP(ROWS($U$1:U861),$R$2:$S$918,2,FALSE),"")</f>
        <v>Specialist/Technologist: Audiology Assistant-2355A2700X</v>
      </c>
    </row>
    <row r="863" spans="1:22" ht="30.75" x14ac:dyDescent="0.3">
      <c r="A863" s="21" t="s">
        <v>1071</v>
      </c>
      <c r="B863" s="21" t="str">
        <f>Table1[[#This Row],[Code]]&amp;" "&amp;Table1[[#This Row],[Portico_Specialty]]</f>
        <v>2255R0406X Specialist/Technologist: Rehabilitation, Blind</v>
      </c>
      <c r="C863" s="21" t="str">
        <f>CLEAN(Table1[[#This Row],[Code]])</f>
        <v>2255R0406X</v>
      </c>
      <c r="D863" s="1" t="s">
        <v>1072</v>
      </c>
      <c r="E863" s="1"/>
      <c r="F863" s="1" t="s">
        <v>2587</v>
      </c>
      <c r="G863" s="3" t="s">
        <v>2588</v>
      </c>
      <c r="H863" s="1" t="s">
        <v>2615</v>
      </c>
      <c r="I863" s="1"/>
      <c r="J863" s="1" t="s">
        <v>2590</v>
      </c>
      <c r="K863" s="1" t="s">
        <v>2601</v>
      </c>
      <c r="L863" s="1"/>
      <c r="M863" s="1"/>
      <c r="N863" s="1"/>
      <c r="O863" s="1" t="s">
        <v>2601</v>
      </c>
      <c r="P863" s="9"/>
      <c r="R863" s="16">
        <f ca="1">IF(ISNUMBER(SEARCH(INDIRECT(CELL("address")),S863)),MAX($R$1:R862)+1,0)</f>
        <v>862</v>
      </c>
      <c r="S863" s="18" t="str">
        <f>Table1[[#This Row],[Portico_Specialty]]&amp;"-"&amp;Table1[[#This Row],[Code]]</f>
        <v>Specialist/Technologist: Rehabilitation, Blind-2255R0406X</v>
      </c>
      <c r="U863" s="16" t="str">
        <f ca="1">IFERROR(VLOOKUP(ROWS($U$1:U862),$R$2:$S$918,2,FALSE),"")</f>
        <v>Specialist/Technologist: Rehabilitation, Blind-2255R0406X</v>
      </c>
    </row>
    <row r="864" spans="1:22" ht="30.75" x14ac:dyDescent="0.3">
      <c r="A864" s="21" t="s">
        <v>1189</v>
      </c>
      <c r="B864" s="21" t="str">
        <f>Table1[[#This Row],[Code]]&amp;" "&amp;Table1[[#This Row],[Portico_Specialty]]</f>
        <v>2355S0801X Specialist/Technologist: Speech-Language Assistant</v>
      </c>
      <c r="C864" s="21" t="str">
        <f>CLEAN(Table1[[#This Row],[Code]])</f>
        <v>2355S0801X</v>
      </c>
      <c r="D864" s="1" t="s">
        <v>1190</v>
      </c>
      <c r="E864" s="1"/>
      <c r="F864" s="1" t="s">
        <v>2587</v>
      </c>
      <c r="G864" s="3" t="s">
        <v>2588</v>
      </c>
      <c r="H864" s="1" t="s">
        <v>2651</v>
      </c>
      <c r="I864" s="1"/>
      <c r="J864" s="1" t="s">
        <v>2590</v>
      </c>
      <c r="K864" s="1" t="s">
        <v>2651</v>
      </c>
      <c r="L864" s="1" t="s">
        <v>2651</v>
      </c>
      <c r="M864" s="1"/>
      <c r="N864" s="1"/>
      <c r="O864" s="1" t="s">
        <v>2651</v>
      </c>
      <c r="P864" s="9"/>
      <c r="R864" s="16">
        <f ca="1">IF(ISNUMBER(SEARCH(INDIRECT(CELL("address")),S864)),MAX($R$1:R863)+1,0)</f>
        <v>863</v>
      </c>
      <c r="S864" s="18" t="str">
        <f>Table1[[#This Row],[Portico_Specialty]]&amp;"-"&amp;Table1[[#This Row],[Code]]</f>
        <v>Specialist/Technologist: Speech-Language Assistant-2355S0801X</v>
      </c>
      <c r="U864" s="16" t="str">
        <f ca="1">IFERROR(VLOOKUP(ROWS($U$1:U863),$R$2:$S$918,2,FALSE),"")</f>
        <v>Specialist/Technologist: Speech-Language Assistant-2355S0801X</v>
      </c>
    </row>
    <row r="865" spans="1:21" x14ac:dyDescent="0.3">
      <c r="A865" s="21" t="s">
        <v>481</v>
      </c>
      <c r="B865" s="21" t="str">
        <f>Table1[[#This Row],[Code]]&amp;" "&amp;Table1[[#This Row],[Portico_Specialty]]</f>
        <v>1744G0900X Specialist: Graphics Designer</v>
      </c>
      <c r="C865" s="21" t="str">
        <f>CLEAN(Table1[[#This Row],[Code]])</f>
        <v>1744G0900X</v>
      </c>
      <c r="D865" s="1" t="s">
        <v>482</v>
      </c>
      <c r="E865" s="1"/>
      <c r="F865" s="1" t="s">
        <v>2587</v>
      </c>
      <c r="G865" s="3" t="s">
        <v>2588</v>
      </c>
      <c r="H865" s="1"/>
      <c r="I865" s="1"/>
      <c r="J865" s="1" t="s">
        <v>2590</v>
      </c>
      <c r="K865" s="1" t="s">
        <v>2590</v>
      </c>
      <c r="L865" s="1"/>
      <c r="M865" s="1"/>
      <c r="N865" s="1"/>
      <c r="O865" s="1" t="s">
        <v>2590</v>
      </c>
      <c r="P865" s="9"/>
      <c r="R865" s="16">
        <f ca="1">IF(ISNUMBER(SEARCH(INDIRECT(CELL("address")),S865)),MAX($R$1:R864)+1,0)</f>
        <v>864</v>
      </c>
      <c r="S865" s="18" t="str">
        <f>Table1[[#This Row],[Portico_Specialty]]&amp;"-"&amp;Table1[[#This Row],[Code]]</f>
        <v>Specialist: Graphics Designer-1744G0900X</v>
      </c>
      <c r="U865" s="16" t="str">
        <f ca="1">IFERROR(VLOOKUP(ROWS($U$1:U864),$R$2:$S$918,2,FALSE),"")</f>
        <v>Specialist: Graphics Designer-1744G0900X</v>
      </c>
    </row>
    <row r="866" spans="1:21" x14ac:dyDescent="0.3">
      <c r="A866" s="21" t="s">
        <v>483</v>
      </c>
      <c r="B866" s="21" t="str">
        <f>Table1[[#This Row],[Code]]&amp;" "&amp;Table1[[#This Row],[Portico_Specialty]]</f>
        <v>1744P3200X Specialist: Prosthetics Case Management</v>
      </c>
      <c r="C866" s="21" t="str">
        <f>CLEAN(Table1[[#This Row],[Code]])</f>
        <v>1744P3200X</v>
      </c>
      <c r="D866" s="1" t="s">
        <v>484</v>
      </c>
      <c r="E866" s="1"/>
      <c r="F866" s="1" t="s">
        <v>2587</v>
      </c>
      <c r="G866" s="3" t="s">
        <v>2588</v>
      </c>
      <c r="H866" s="1" t="s">
        <v>2615</v>
      </c>
      <c r="I866" s="1"/>
      <c r="J866" s="1" t="s">
        <v>2590</v>
      </c>
      <c r="K866" s="1" t="s">
        <v>2810</v>
      </c>
      <c r="L866" s="1" t="s">
        <v>2810</v>
      </c>
      <c r="M866" s="1"/>
      <c r="N866" s="1"/>
      <c r="O866" s="1" t="s">
        <v>2810</v>
      </c>
      <c r="P866" s="9"/>
      <c r="R866" s="16">
        <f ca="1">IF(ISNUMBER(SEARCH(INDIRECT(CELL("address")),S866)),MAX($R$1:R865)+1,0)</f>
        <v>865</v>
      </c>
      <c r="S866" s="18" t="str">
        <f>Table1[[#This Row],[Portico_Specialty]]&amp;"-"&amp;Table1[[#This Row],[Code]]</f>
        <v>Specialist: Prosthetics Case Management-1744P3200X</v>
      </c>
      <c r="U866" s="16" t="str">
        <f ca="1">IFERROR(VLOOKUP(ROWS($U$1:U865),$R$2:$S$918,2,FALSE),"")</f>
        <v>Specialist: Prosthetics Case Management-1744P3200X</v>
      </c>
    </row>
    <row r="867" spans="1:21" x14ac:dyDescent="0.3">
      <c r="A867" s="21" t="s">
        <v>487</v>
      </c>
      <c r="B867" s="21" t="str">
        <f>Table1[[#This Row],[Code]]&amp;" "&amp;Table1[[#This Row],[Portico_Specialty]]</f>
        <v>1744R1103X Specialist: Research Data Abstracter/Coder</v>
      </c>
      <c r="C867" s="21" t="str">
        <f>CLEAN(Table1[[#This Row],[Code]])</f>
        <v>1744R1103X</v>
      </c>
      <c r="D867" s="1" t="s">
        <v>488</v>
      </c>
      <c r="E867" s="1"/>
      <c r="F867" s="1" t="s">
        <v>2587</v>
      </c>
      <c r="G867" s="3" t="s">
        <v>2588</v>
      </c>
      <c r="H867" s="1"/>
      <c r="I867" s="1"/>
      <c r="J867" s="1" t="s">
        <v>2590</v>
      </c>
      <c r="K867" s="1" t="s">
        <v>2590</v>
      </c>
      <c r="L867" s="1"/>
      <c r="M867" s="1"/>
      <c r="N867" s="1"/>
      <c r="O867" s="1" t="s">
        <v>2590</v>
      </c>
      <c r="P867" s="9"/>
      <c r="R867" s="16">
        <f ca="1">IF(ISNUMBER(SEARCH(INDIRECT(CELL("address")),S867)),MAX($R$1:R866)+1,0)</f>
        <v>866</v>
      </c>
      <c r="S867" s="18" t="str">
        <f>Table1[[#This Row],[Portico_Specialty]]&amp;"-"&amp;Table1[[#This Row],[Code]]</f>
        <v>Specialist: Research Data Abstracter/Coder-1744R1103X</v>
      </c>
      <c r="U867" s="16" t="str">
        <f ca="1">IFERROR(VLOOKUP(ROWS($U$1:U866),$R$2:$S$918,2,FALSE),"")</f>
        <v>Specialist: Research Data Abstracter/Coder-1744R1103X</v>
      </c>
    </row>
    <row r="868" spans="1:21" x14ac:dyDescent="0.3">
      <c r="A868" s="21" t="s">
        <v>485</v>
      </c>
      <c r="B868" s="21" t="str">
        <f>Table1[[#This Row],[Code]]&amp;" "&amp;Table1[[#This Row],[Portico_Specialty]]</f>
        <v>1744R1102X Specialist: Research Study</v>
      </c>
      <c r="C868" s="21" t="str">
        <f>CLEAN(Table1[[#This Row],[Code]])</f>
        <v>1744R1102X</v>
      </c>
      <c r="D868" s="1" t="s">
        <v>486</v>
      </c>
      <c r="E868" s="1"/>
      <c r="F868" s="1" t="s">
        <v>2587</v>
      </c>
      <c r="G868" s="3" t="s">
        <v>2588</v>
      </c>
      <c r="H868" s="1"/>
      <c r="I868" s="1"/>
      <c r="J868" s="1" t="s">
        <v>2590</v>
      </c>
      <c r="K868" s="1" t="s">
        <v>2590</v>
      </c>
      <c r="L868" s="1"/>
      <c r="M868" s="1"/>
      <c r="N868" s="1"/>
      <c r="O868" s="1" t="s">
        <v>2590</v>
      </c>
      <c r="P868" s="9"/>
      <c r="R868" s="16">
        <f ca="1">IF(ISNUMBER(SEARCH(INDIRECT(CELL("address")),S868)),MAX($R$1:R867)+1,0)</f>
        <v>867</v>
      </c>
      <c r="S868" s="18" t="str">
        <f>Table1[[#This Row],[Portico_Specialty]]&amp;"-"&amp;Table1[[#This Row],[Code]]</f>
        <v>Specialist: Research Study-1744R1102X</v>
      </c>
      <c r="U868" s="16" t="str">
        <f ca="1">IFERROR(VLOOKUP(ROWS($U$1:U867),$R$2:$S$918,2,FALSE),"")</f>
        <v>Specialist: Research Study-1744R1102X</v>
      </c>
    </row>
    <row r="869" spans="1:21" x14ac:dyDescent="0.3">
      <c r="A869" s="21" t="s">
        <v>1191</v>
      </c>
      <c r="B869" s="21" t="str">
        <f>Table1[[#This Row],[Code]]&amp;" "&amp;Table1[[#This Row],[Portico_Specialty]]</f>
        <v>235Z00000X Speech-Language Pathologist</v>
      </c>
      <c r="C869" s="21" t="str">
        <f>CLEAN(Table1[[#This Row],[Code]])</f>
        <v>235Z00000X</v>
      </c>
      <c r="D869" s="1" t="s">
        <v>1192</v>
      </c>
      <c r="E869" s="1"/>
      <c r="F869" s="1" t="s">
        <v>2587</v>
      </c>
      <c r="G869" s="4" t="s">
        <v>2593</v>
      </c>
      <c r="H869" s="1" t="s">
        <v>2651</v>
      </c>
      <c r="I869" s="1"/>
      <c r="J869" s="1" t="s">
        <v>2651</v>
      </c>
      <c r="K869" s="1" t="s">
        <v>2651</v>
      </c>
      <c r="L869" s="1" t="s">
        <v>2651</v>
      </c>
      <c r="M869" s="1" t="s">
        <v>2651</v>
      </c>
      <c r="N869" s="1" t="s">
        <v>2876</v>
      </c>
      <c r="O869" s="1" t="s">
        <v>2651</v>
      </c>
      <c r="P869" s="9"/>
      <c r="R869" s="16">
        <f ca="1">IF(ISNUMBER(SEARCH(INDIRECT(CELL("address")),S869)),MAX($R$1:R868)+1,0)</f>
        <v>868</v>
      </c>
      <c r="S869" s="18" t="str">
        <f>Table1[[#This Row],[Portico_Specialty]]&amp;"-"&amp;Table1[[#This Row],[Code]]</f>
        <v>Speech-Language Pathologist-235Z00000X</v>
      </c>
      <c r="U869" s="16" t="str">
        <f ca="1">IFERROR(VLOOKUP(ROWS($U$1:U868),$R$2:$S$918,2,FALSE),"")</f>
        <v>Speech-Language Pathologist-235Z00000X</v>
      </c>
    </row>
    <row r="870" spans="1:21" ht="30.75" x14ac:dyDescent="0.3">
      <c r="A870" s="21" t="s">
        <v>1837</v>
      </c>
      <c r="B870" s="21" t="str">
        <f>Table1[[#This Row],[Code]]&amp;" "&amp;Table1[[#This Row],[Portico_Specialty]]</f>
        <v>390200000X Student in an Organized Health Care Education/Training Program</v>
      </c>
      <c r="C870" s="21" t="str">
        <f>CLEAN(Table1[[#This Row],[Code]])</f>
        <v>390200000X</v>
      </c>
      <c r="D870" s="1" t="s">
        <v>1838</v>
      </c>
      <c r="E870" s="1"/>
      <c r="F870" s="1" t="s">
        <v>2587</v>
      </c>
      <c r="G870" s="3" t="s">
        <v>2588</v>
      </c>
      <c r="H870" s="1" t="s">
        <v>2590</v>
      </c>
      <c r="I870" s="1"/>
      <c r="J870" s="1" t="s">
        <v>2590</v>
      </c>
      <c r="K870" s="1" t="s">
        <v>2682</v>
      </c>
      <c r="L870" s="1" t="s">
        <v>2590</v>
      </c>
      <c r="M870" s="1" t="s">
        <v>2615</v>
      </c>
      <c r="N870" s="1" t="s">
        <v>2590</v>
      </c>
      <c r="O870" s="1" t="s">
        <v>2682</v>
      </c>
      <c r="P870" s="9"/>
      <c r="R870" s="16">
        <f ca="1">IF(ISNUMBER(SEARCH(INDIRECT(CELL("address")),S870)),MAX($R$1:R869)+1,0)</f>
        <v>869</v>
      </c>
      <c r="S870" s="18" t="str">
        <f>Table1[[#This Row],[Portico_Specialty]]&amp;"-"&amp;Table1[[#This Row],[Code]]</f>
        <v>Student in an Organized Health Care Education/Training Program-390200000X</v>
      </c>
      <c r="U870" s="16" t="str">
        <f ca="1">IFERROR(VLOOKUP(ROWS($U$1:U869),$R$2:$S$918,2,FALSE),"")</f>
        <v>Student in an Organized Health Care Education/Training Program-390200000X</v>
      </c>
    </row>
    <row r="871" spans="1:21" x14ac:dyDescent="0.3">
      <c r="A871" s="21" t="s">
        <v>1585</v>
      </c>
      <c r="B871" s="21" t="str">
        <f>Table1[[#This Row],[Code]]&amp;" "&amp;Table1[[#This Row],[Portico_Specialty]]</f>
        <v>324500000X Substance Abuse Rehabilitation Facility</v>
      </c>
      <c r="C871" s="21" t="str">
        <f>CLEAN(Table1[[#This Row],[Code]])</f>
        <v>324500000X</v>
      </c>
      <c r="D871" s="1" t="s">
        <v>1586</v>
      </c>
      <c r="E871" s="1" t="s">
        <v>2647</v>
      </c>
      <c r="F871" s="1" t="s">
        <v>2607</v>
      </c>
      <c r="G871" s="3" t="s">
        <v>2588</v>
      </c>
      <c r="H871" s="1" t="s">
        <v>2622</v>
      </c>
      <c r="I871" s="1"/>
      <c r="J871" s="1" t="s">
        <v>2660</v>
      </c>
      <c r="K871" s="1" t="s">
        <v>2621</v>
      </c>
      <c r="L871" s="1" t="s">
        <v>2622</v>
      </c>
      <c r="M871" s="1" t="s">
        <v>2661</v>
      </c>
      <c r="N871" s="1" t="s">
        <v>2621</v>
      </c>
      <c r="O871" s="1" t="s">
        <v>2621</v>
      </c>
      <c r="P871" s="9"/>
      <c r="R871" s="16">
        <f ca="1">IF(ISNUMBER(SEARCH(INDIRECT(CELL("address")),S871)),MAX($R$1:R870)+1,0)</f>
        <v>870</v>
      </c>
      <c r="S871" s="18" t="str">
        <f>Table1[[#This Row],[Portico_Specialty]]&amp;"-"&amp;Table1[[#This Row],[Code]]</f>
        <v>Substance Abuse Rehabilitation Facility-324500000X</v>
      </c>
      <c r="U871" s="16" t="str">
        <f ca="1">IFERROR(VLOOKUP(ROWS($U$1:U870),$R$2:$S$918,2,FALSE),"")</f>
        <v>Substance Abuse Rehabilitation Facility-324500000X</v>
      </c>
    </row>
    <row r="872" spans="1:21" ht="30.75" x14ac:dyDescent="0.3">
      <c r="A872" s="21" t="s">
        <v>1587</v>
      </c>
      <c r="B872" s="21" t="str">
        <f>Table1[[#This Row],[Code]]&amp;" "&amp;Table1[[#This Row],[Portico_Specialty]]</f>
        <v>3245S0500X Substance Abuse Rehabilitation Facility: Substance Abuse Treatment, Children</v>
      </c>
      <c r="C872" s="21" t="str">
        <f>CLEAN(Table1[[#This Row],[Code]])</f>
        <v>3245S0500X</v>
      </c>
      <c r="D872" s="1" t="s">
        <v>1588</v>
      </c>
      <c r="E872" s="1" t="s">
        <v>2647</v>
      </c>
      <c r="F872" s="1" t="s">
        <v>2607</v>
      </c>
      <c r="G872" s="3" t="s">
        <v>2588</v>
      </c>
      <c r="H872" s="1" t="s">
        <v>2622</v>
      </c>
      <c r="I872" s="1"/>
      <c r="J872" s="1" t="s">
        <v>2660</v>
      </c>
      <c r="K872" s="1" t="s">
        <v>2621</v>
      </c>
      <c r="L872" s="1" t="s">
        <v>2622</v>
      </c>
      <c r="M872" s="1" t="s">
        <v>2661</v>
      </c>
      <c r="N872" s="1"/>
      <c r="O872" s="1" t="s">
        <v>2621</v>
      </c>
      <c r="P872" s="9"/>
      <c r="R872" s="16">
        <f ca="1">IF(ISNUMBER(SEARCH(INDIRECT(CELL("address")),S872)),MAX($R$1:R871)+1,0)</f>
        <v>871</v>
      </c>
      <c r="S872" s="18" t="str">
        <f>Table1[[#This Row],[Portico_Specialty]]&amp;"-"&amp;Table1[[#This Row],[Code]]</f>
        <v>Substance Abuse Rehabilitation Facility: Substance Abuse Treatment, Children-3245S0500X</v>
      </c>
      <c r="U872" s="16" t="str">
        <f ca="1">IFERROR(VLOOKUP(ROWS($U$1:U871),$R$2:$S$918,2,FALSE),"")</f>
        <v>Substance Abuse Rehabilitation Facility: Substance Abuse Treatment, Children-3245S0500X</v>
      </c>
    </row>
    <row r="873" spans="1:21" x14ac:dyDescent="0.3">
      <c r="A873" s="21" t="s">
        <v>1351</v>
      </c>
      <c r="B873" s="21" t="str">
        <f>Table1[[#This Row],[Code]]&amp;" "&amp;Table1[[#This Row],[Portico_Specialty]]</f>
        <v>251X00000X Supports Brokerage</v>
      </c>
      <c r="C873" s="21" t="str">
        <f>CLEAN(Table1[[#This Row],[Code]])</f>
        <v>251X00000X</v>
      </c>
      <c r="D873" s="1" t="s">
        <v>1352</v>
      </c>
      <c r="E873" s="1"/>
      <c r="F873" s="1" t="s">
        <v>2587</v>
      </c>
      <c r="G873" s="3" t="s">
        <v>2588</v>
      </c>
      <c r="H873" s="1" t="s">
        <v>2590</v>
      </c>
      <c r="I873" s="1"/>
      <c r="J873" s="1" t="s">
        <v>2590</v>
      </c>
      <c r="K873" s="1" t="s">
        <v>2621</v>
      </c>
      <c r="L873" s="1"/>
      <c r="M873" s="1"/>
      <c r="N873" s="1"/>
      <c r="O873" s="1" t="s">
        <v>2621</v>
      </c>
      <c r="P873" s="9"/>
      <c r="R873" s="16">
        <f ca="1">IF(ISNUMBER(SEARCH(INDIRECT(CELL("address")),S873)),MAX($R$1:R872)+1,0)</f>
        <v>872</v>
      </c>
      <c r="S873" s="18" t="str">
        <f>Table1[[#This Row],[Portico_Specialty]]&amp;"-"&amp;Table1[[#This Row],[Code]]</f>
        <v>Supports Brokerage-251X00000X</v>
      </c>
      <c r="U873" s="16" t="str">
        <f ca="1">IFERROR(VLOOKUP(ROWS($U$1:U872),$R$2:$S$918,2,FALSE),"")</f>
        <v>Supports Brokerage-251X00000X</v>
      </c>
    </row>
    <row r="874" spans="1:21" x14ac:dyDescent="0.3">
      <c r="A874" s="21" t="s">
        <v>957</v>
      </c>
      <c r="B874" s="21" t="str">
        <f>Table1[[#This Row],[Code]]&amp;" "&amp;Table1[[#This Row],[Portico_Specialty]]</f>
        <v>208600000X Surgery</v>
      </c>
      <c r="C874" s="21" t="str">
        <f>CLEAN(Table1[[#This Row],[Code]])</f>
        <v>208600000X</v>
      </c>
      <c r="D874" s="1" t="s">
        <v>958</v>
      </c>
      <c r="E874" s="1"/>
      <c r="F874" s="1" t="s">
        <v>2587</v>
      </c>
      <c r="G874" s="4" t="s">
        <v>2593</v>
      </c>
      <c r="H874" s="1" t="s">
        <v>2875</v>
      </c>
      <c r="I874" s="1"/>
      <c r="J874" s="1" t="s">
        <v>2875</v>
      </c>
      <c r="K874" s="1" t="s">
        <v>2875</v>
      </c>
      <c r="L874" s="1" t="s">
        <v>2875</v>
      </c>
      <c r="M874" s="1" t="s">
        <v>2875</v>
      </c>
      <c r="N874" s="1" t="s">
        <v>2875</v>
      </c>
      <c r="O874" s="1" t="s">
        <v>2875</v>
      </c>
      <c r="P874" s="9"/>
      <c r="R874" s="16">
        <f ca="1">IF(ISNUMBER(SEARCH(INDIRECT(CELL("address")),S874)),MAX($R$1:R873)+1,0)</f>
        <v>873</v>
      </c>
      <c r="S874" s="18" t="str">
        <f>Table1[[#This Row],[Portico_Specialty]]&amp;"-"&amp;Table1[[#This Row],[Code]]</f>
        <v>Surgery-208600000X</v>
      </c>
      <c r="U874" s="16" t="str">
        <f ca="1">IFERROR(VLOOKUP(ROWS($U$1:U873),$R$2:$S$918,2,FALSE),"")</f>
        <v>Surgery-208600000X</v>
      </c>
    </row>
    <row r="875" spans="1:21" x14ac:dyDescent="0.3">
      <c r="A875" s="21" t="s">
        <v>959</v>
      </c>
      <c r="B875" s="21" t="str">
        <f>Table1[[#This Row],[Code]]&amp;" "&amp;Table1[[#This Row],[Portico_Specialty]]</f>
        <v>2086H0002X Surgery: Hospice and Palliative Medicine</v>
      </c>
      <c r="C875" s="21" t="str">
        <f>CLEAN(Table1[[#This Row],[Code]])</f>
        <v>2086H0002X</v>
      </c>
      <c r="D875" s="1" t="s">
        <v>960</v>
      </c>
      <c r="E875" s="1"/>
      <c r="F875" s="1" t="s">
        <v>2587</v>
      </c>
      <c r="G875" s="4" t="s">
        <v>2593</v>
      </c>
      <c r="H875" s="1" t="s">
        <v>2875</v>
      </c>
      <c r="I875" s="1"/>
      <c r="J875" s="1" t="s">
        <v>2875</v>
      </c>
      <c r="K875" s="1" t="s">
        <v>2875</v>
      </c>
      <c r="L875" s="1" t="s">
        <v>2875</v>
      </c>
      <c r="M875" s="1" t="s">
        <v>2875</v>
      </c>
      <c r="N875" s="1" t="s">
        <v>2875</v>
      </c>
      <c r="O875" s="1" t="s">
        <v>2875</v>
      </c>
      <c r="P875" s="9"/>
      <c r="R875" s="16">
        <f ca="1">IF(ISNUMBER(SEARCH(INDIRECT(CELL("address")),S875)),MAX($R$1:R874)+1,0)</f>
        <v>874</v>
      </c>
      <c r="S875" s="18" t="str">
        <f>Table1[[#This Row],[Portico_Specialty]]&amp;"-"&amp;Table1[[#This Row],[Code]]</f>
        <v>Surgery: Hospice and Palliative Medicine-2086H0002X</v>
      </c>
      <c r="U875" s="16" t="str">
        <f ca="1">IFERROR(VLOOKUP(ROWS($U$1:U874),$R$2:$S$918,2,FALSE),"")</f>
        <v>Surgery: Hospice and Palliative Medicine-2086H0002X</v>
      </c>
    </row>
    <row r="876" spans="1:21" x14ac:dyDescent="0.3">
      <c r="A876" s="21" t="s">
        <v>965</v>
      </c>
      <c r="B876" s="21" t="str">
        <f>Table1[[#This Row],[Code]]&amp;" "&amp;Table1[[#This Row],[Portico_Specialty]]</f>
        <v>2086S0120X Surgery: Pediatric Surgery</v>
      </c>
      <c r="C876" s="21" t="str">
        <f>CLEAN(Table1[[#This Row],[Code]])</f>
        <v>2086S0120X</v>
      </c>
      <c r="D876" s="1" t="s">
        <v>966</v>
      </c>
      <c r="E876" s="1"/>
      <c r="F876" s="1" t="s">
        <v>2587</v>
      </c>
      <c r="G876" s="4" t="s">
        <v>2593</v>
      </c>
      <c r="H876" s="1" t="s">
        <v>2875</v>
      </c>
      <c r="I876" s="1"/>
      <c r="J876" s="1" t="s">
        <v>2875</v>
      </c>
      <c r="K876" s="1" t="s">
        <v>2875</v>
      </c>
      <c r="L876" s="1" t="s">
        <v>2875</v>
      </c>
      <c r="M876" s="1" t="s">
        <v>2875</v>
      </c>
      <c r="N876" s="1" t="s">
        <v>2875</v>
      </c>
      <c r="O876" s="1" t="s">
        <v>2875</v>
      </c>
      <c r="P876" s="9"/>
      <c r="R876" s="16">
        <f ca="1">IF(ISNUMBER(SEARCH(INDIRECT(CELL("address")),S876)),MAX($R$1:R875)+1,0)</f>
        <v>875</v>
      </c>
      <c r="S876" s="18" t="str">
        <f>Table1[[#This Row],[Portico_Specialty]]&amp;"-"&amp;Table1[[#This Row],[Code]]</f>
        <v>Surgery: Pediatric Surgery-2086S0120X</v>
      </c>
      <c r="U876" s="16" t="str">
        <f ca="1">IFERROR(VLOOKUP(ROWS($U$1:U875),$R$2:$S$918,2,FALSE),"")</f>
        <v>Surgery: Pediatric Surgery-2086S0120X</v>
      </c>
    </row>
    <row r="877" spans="1:21" x14ac:dyDescent="0.3">
      <c r="A877" s="21" t="s">
        <v>967</v>
      </c>
      <c r="B877" s="21" t="str">
        <f>Table1[[#This Row],[Code]]&amp;" "&amp;Table1[[#This Row],[Portico_Specialty]]</f>
        <v>2086S0122X Surgery: Plastic and Reconstructive Surgery</v>
      </c>
      <c r="C877" s="21" t="str">
        <f>CLEAN(Table1[[#This Row],[Code]])</f>
        <v>2086S0122X</v>
      </c>
      <c r="D877" s="1" t="s">
        <v>968</v>
      </c>
      <c r="E877" s="1"/>
      <c r="F877" s="1" t="s">
        <v>2587</v>
      </c>
      <c r="G877" s="4" t="s">
        <v>2593</v>
      </c>
      <c r="H877" s="1" t="s">
        <v>2712</v>
      </c>
      <c r="I877" s="1"/>
      <c r="J877" s="1" t="s">
        <v>2712</v>
      </c>
      <c r="K877" s="1" t="s">
        <v>2875</v>
      </c>
      <c r="L877" s="1" t="s">
        <v>2712</v>
      </c>
      <c r="M877" s="1" t="s">
        <v>2712</v>
      </c>
      <c r="N877" s="1" t="s">
        <v>2712</v>
      </c>
      <c r="O877" s="1" t="s">
        <v>2875</v>
      </c>
      <c r="P877" s="9"/>
      <c r="R877" s="16">
        <f ca="1">IF(ISNUMBER(SEARCH(INDIRECT(CELL("address")),S877)),MAX($R$1:R876)+1,0)</f>
        <v>876</v>
      </c>
      <c r="S877" s="18" t="str">
        <f>Table1[[#This Row],[Portico_Specialty]]&amp;"-"&amp;Table1[[#This Row],[Code]]</f>
        <v>Surgery: Plastic and Reconstructive Surgery-2086S0122X</v>
      </c>
      <c r="U877" s="16" t="str">
        <f ca="1">IFERROR(VLOOKUP(ROWS($U$1:U876),$R$2:$S$918,2,FALSE),"")</f>
        <v>Surgery: Plastic and Reconstructive Surgery-2086S0122X</v>
      </c>
    </row>
    <row r="878" spans="1:21" x14ac:dyDescent="0.3">
      <c r="A878" s="21" t="s">
        <v>963</v>
      </c>
      <c r="B878" s="21" t="str">
        <f>Table1[[#This Row],[Code]]&amp;" "&amp;Table1[[#This Row],[Portico_Specialty]]</f>
        <v>2086S0105X Surgery: Surgery of the Hand</v>
      </c>
      <c r="C878" s="21" t="str">
        <f>CLEAN(Table1[[#This Row],[Code]])</f>
        <v>2086S0105X</v>
      </c>
      <c r="D878" s="1" t="s">
        <v>964</v>
      </c>
      <c r="E878" s="1"/>
      <c r="F878" s="1" t="s">
        <v>2587</v>
      </c>
      <c r="G878" s="4" t="s">
        <v>2593</v>
      </c>
      <c r="H878" s="1" t="s">
        <v>2809</v>
      </c>
      <c r="I878" s="1"/>
      <c r="J878" s="1" t="s">
        <v>2809</v>
      </c>
      <c r="K878" s="1" t="s">
        <v>2809</v>
      </c>
      <c r="L878" s="1" t="s">
        <v>2809</v>
      </c>
      <c r="M878" s="1" t="s">
        <v>2809</v>
      </c>
      <c r="N878" s="1" t="s">
        <v>2809</v>
      </c>
      <c r="O878" s="1" t="s">
        <v>2809</v>
      </c>
      <c r="P878" s="9"/>
      <c r="R878" s="16">
        <f ca="1">IF(ISNUMBER(SEARCH(INDIRECT(CELL("address")),S878)),MAX($R$1:R877)+1,0)</f>
        <v>877</v>
      </c>
      <c r="S878" s="18" t="str">
        <f>Table1[[#This Row],[Portico_Specialty]]&amp;"-"&amp;Table1[[#This Row],[Code]]</f>
        <v>Surgery: Surgery of the Hand-2086S0105X</v>
      </c>
      <c r="U878" s="16" t="str">
        <f ca="1">IFERROR(VLOOKUP(ROWS($U$1:U877),$R$2:$S$918,2,FALSE),"")</f>
        <v>Surgery: Surgery of the Hand-2086S0105X</v>
      </c>
    </row>
    <row r="879" spans="1:21" x14ac:dyDescent="0.3">
      <c r="A879" s="21" t="s">
        <v>961</v>
      </c>
      <c r="B879" s="21" t="str">
        <f>Table1[[#This Row],[Code]]&amp;" "&amp;Table1[[#This Row],[Portico_Specialty]]</f>
        <v>2086S0102X Surgery: Surgical Critical Care</v>
      </c>
      <c r="C879" s="21" t="str">
        <f>CLEAN(Table1[[#This Row],[Code]])</f>
        <v>2086S0102X</v>
      </c>
      <c r="D879" s="1" t="s">
        <v>962</v>
      </c>
      <c r="E879" s="1"/>
      <c r="F879" s="1" t="s">
        <v>2587</v>
      </c>
      <c r="G879" s="4" t="s">
        <v>2593</v>
      </c>
      <c r="H879" s="1" t="s">
        <v>2875</v>
      </c>
      <c r="I879" s="1"/>
      <c r="J879" s="1" t="s">
        <v>2875</v>
      </c>
      <c r="K879" s="1" t="s">
        <v>2875</v>
      </c>
      <c r="L879" s="1" t="s">
        <v>2875</v>
      </c>
      <c r="M879" s="1" t="s">
        <v>2875</v>
      </c>
      <c r="N879" s="1" t="s">
        <v>2875</v>
      </c>
      <c r="O879" s="1" t="s">
        <v>2875</v>
      </c>
      <c r="P879" s="9"/>
      <c r="R879" s="16">
        <f ca="1">IF(ISNUMBER(SEARCH(INDIRECT(CELL("address")),S879)),MAX($R$1:R878)+1,0)</f>
        <v>878</v>
      </c>
      <c r="S879" s="18" t="str">
        <f>Table1[[#This Row],[Portico_Specialty]]&amp;"-"&amp;Table1[[#This Row],[Code]]</f>
        <v>Surgery: Surgical Critical Care-2086S0102X</v>
      </c>
      <c r="U879" s="16" t="str">
        <f ca="1">IFERROR(VLOOKUP(ROWS($U$1:U878),$R$2:$S$918,2,FALSE),"")</f>
        <v>Surgery: Surgical Critical Care-2086S0102X</v>
      </c>
    </row>
    <row r="880" spans="1:21" x14ac:dyDescent="0.3">
      <c r="A880" s="21" t="s">
        <v>973</v>
      </c>
      <c r="B880" s="21" t="str">
        <f>Table1[[#This Row],[Code]]&amp;" "&amp;Table1[[#This Row],[Portico_Specialty]]</f>
        <v>2086X0206X Surgery: Surgical Oncology</v>
      </c>
      <c r="C880" s="21" t="str">
        <f>CLEAN(Table1[[#This Row],[Code]])</f>
        <v>2086X0206X</v>
      </c>
      <c r="D880" s="1" t="s">
        <v>974</v>
      </c>
      <c r="E880" s="1"/>
      <c r="F880" s="1" t="s">
        <v>2587</v>
      </c>
      <c r="G880" s="4" t="s">
        <v>2593</v>
      </c>
      <c r="H880" s="1" t="s">
        <v>2877</v>
      </c>
      <c r="I880" s="1"/>
      <c r="J880" s="1" t="s">
        <v>2877</v>
      </c>
      <c r="K880" s="1" t="s">
        <v>2875</v>
      </c>
      <c r="L880" s="1" t="s">
        <v>2877</v>
      </c>
      <c r="M880" s="1" t="s">
        <v>2877</v>
      </c>
      <c r="N880" s="1" t="s">
        <v>2877</v>
      </c>
      <c r="O880" s="1" t="s">
        <v>2875</v>
      </c>
      <c r="P880" s="9"/>
      <c r="R880" s="16">
        <f ca="1">IF(ISNUMBER(SEARCH(INDIRECT(CELL("address")),S880)),MAX($R$1:R879)+1,0)</f>
        <v>879</v>
      </c>
      <c r="S880" s="18" t="str">
        <f>Table1[[#This Row],[Portico_Specialty]]&amp;"-"&amp;Table1[[#This Row],[Code]]</f>
        <v>Surgery: Surgical Oncology-2086X0206X</v>
      </c>
      <c r="U880" s="16" t="str">
        <f ca="1">IFERROR(VLOOKUP(ROWS($U$1:U879),$R$2:$S$918,2,FALSE),"")</f>
        <v>Surgery: Surgical Oncology-2086X0206X</v>
      </c>
    </row>
    <row r="881" spans="1:21" x14ac:dyDescent="0.3">
      <c r="A881" s="21" t="s">
        <v>969</v>
      </c>
      <c r="B881" s="21" t="str">
        <f>Table1[[#This Row],[Code]]&amp;" "&amp;Table1[[#This Row],[Portico_Specialty]]</f>
        <v>2086S0127X Surgery: Trauma Surgery</v>
      </c>
      <c r="C881" s="21" t="str">
        <f>CLEAN(Table1[[#This Row],[Code]])</f>
        <v>2086S0127X</v>
      </c>
      <c r="D881" s="1" t="s">
        <v>970</v>
      </c>
      <c r="E881" s="1"/>
      <c r="F881" s="1" t="s">
        <v>2587</v>
      </c>
      <c r="G881" s="4" t="s">
        <v>2593</v>
      </c>
      <c r="H881" s="1" t="s">
        <v>2875</v>
      </c>
      <c r="I881" s="1"/>
      <c r="J881" s="1" t="s">
        <v>2875</v>
      </c>
      <c r="K881" s="1" t="s">
        <v>2875</v>
      </c>
      <c r="L881" s="1" t="s">
        <v>2875</v>
      </c>
      <c r="M881" s="1" t="s">
        <v>2875</v>
      </c>
      <c r="N881" s="1" t="s">
        <v>2875</v>
      </c>
      <c r="O881" s="1" t="s">
        <v>2875</v>
      </c>
      <c r="P881" s="9"/>
      <c r="R881" s="16">
        <f ca="1">IF(ISNUMBER(SEARCH(INDIRECT(CELL("address")),S881)),MAX($R$1:R880)+1,0)</f>
        <v>880</v>
      </c>
      <c r="S881" s="18" t="str">
        <f>Table1[[#This Row],[Portico_Specialty]]&amp;"-"&amp;Table1[[#This Row],[Code]]</f>
        <v>Surgery: Trauma Surgery-2086S0127X</v>
      </c>
      <c r="U881" s="16" t="str">
        <f ca="1">IFERROR(VLOOKUP(ROWS($U$1:U880),$R$2:$S$918,2,FALSE),"")</f>
        <v>Surgery: Trauma Surgery-2086S0127X</v>
      </c>
    </row>
    <row r="882" spans="1:21" x14ac:dyDescent="0.3">
      <c r="A882" s="21" t="s">
        <v>971</v>
      </c>
      <c r="B882" s="21" t="str">
        <f>Table1[[#This Row],[Code]]&amp;" "&amp;Table1[[#This Row],[Portico_Specialty]]</f>
        <v>2086S0129X Surgery: Vascular Surgery</v>
      </c>
      <c r="C882" s="21" t="str">
        <f>CLEAN(Table1[[#This Row],[Code]])</f>
        <v>2086S0129X</v>
      </c>
      <c r="D882" s="1" t="s">
        <v>972</v>
      </c>
      <c r="E882" s="1"/>
      <c r="F882" s="1" t="s">
        <v>2587</v>
      </c>
      <c r="G882" s="4" t="s">
        <v>2593</v>
      </c>
      <c r="H882" s="1" t="s">
        <v>2878</v>
      </c>
      <c r="I882" s="1"/>
      <c r="J882" s="1" t="s">
        <v>2878</v>
      </c>
      <c r="K882" s="1" t="s">
        <v>2878</v>
      </c>
      <c r="L882" s="1" t="s">
        <v>2878</v>
      </c>
      <c r="M882" s="1" t="s">
        <v>2878</v>
      </c>
      <c r="N882" s="1" t="s">
        <v>2878</v>
      </c>
      <c r="O882" s="1" t="s">
        <v>2878</v>
      </c>
      <c r="P882" s="9"/>
      <c r="R882" s="16">
        <f ca="1">IF(ISNUMBER(SEARCH(INDIRECT(CELL("address")),S882)),MAX($R$1:R881)+1,0)</f>
        <v>881</v>
      </c>
      <c r="S882" s="18" t="str">
        <f>Table1[[#This Row],[Portico_Specialty]]&amp;"-"&amp;Table1[[#This Row],[Code]]</f>
        <v>Surgery: Vascular Surgery-2086S0129X</v>
      </c>
      <c r="U882" s="16" t="str">
        <f ca="1">IFERROR(VLOOKUP(ROWS($U$1:U881),$R$2:$S$918,2,FALSE),"")</f>
        <v>Surgery: Vascular Surgery-2086S0129X</v>
      </c>
    </row>
    <row r="883" spans="1:21" x14ac:dyDescent="0.3">
      <c r="A883" s="21" t="s">
        <v>1673</v>
      </c>
      <c r="B883" s="21" t="str">
        <f>Table1[[#This Row],[Code]]&amp;" "&amp;Table1[[#This Row],[Portico_Specialty]]</f>
        <v>344600000X Taxi</v>
      </c>
      <c r="C883" s="21" t="str">
        <f>CLEAN(Table1[[#This Row],[Code]])</f>
        <v>344600000X</v>
      </c>
      <c r="D883" s="1" t="s">
        <v>1674</v>
      </c>
      <c r="E883" s="1"/>
      <c r="F883" s="1" t="s">
        <v>2587</v>
      </c>
      <c r="G883" s="3" t="s">
        <v>2588</v>
      </c>
      <c r="H883" s="1" t="s">
        <v>2595</v>
      </c>
      <c r="I883" s="1"/>
      <c r="J883" s="1" t="s">
        <v>2595</v>
      </c>
      <c r="K883" s="1" t="s">
        <v>2596</v>
      </c>
      <c r="L883" s="1" t="s">
        <v>2595</v>
      </c>
      <c r="M883" s="1" t="s">
        <v>2595</v>
      </c>
      <c r="N883" s="1"/>
      <c r="O883" s="1" t="s">
        <v>2596</v>
      </c>
      <c r="P883" s="9"/>
      <c r="R883" s="16">
        <f ca="1">IF(ISNUMBER(SEARCH(INDIRECT(CELL("address")),S883)),MAX($R$1:R882)+1,0)</f>
        <v>882</v>
      </c>
      <c r="S883" s="18" t="str">
        <f>Table1[[#This Row],[Portico_Specialty]]&amp;"-"&amp;Table1[[#This Row],[Code]]</f>
        <v>Taxi-344600000X</v>
      </c>
      <c r="U883" s="16" t="str">
        <f ca="1">IFERROR(VLOOKUP(ROWS($U$1:U882),$R$2:$S$918,2,FALSE),"")</f>
        <v>Taxi-344600000X</v>
      </c>
    </row>
    <row r="884" spans="1:21" x14ac:dyDescent="0.3">
      <c r="A884" s="21" t="s">
        <v>1807</v>
      </c>
      <c r="B884" s="21" t="str">
        <f>Table1[[#This Row],[Code]]&amp;" "&amp;Table1[[#This Row],[Portico_Specialty]]</f>
        <v>374700000X Technician</v>
      </c>
      <c r="C884" s="21" t="str">
        <f>CLEAN(Table1[[#This Row],[Code]])</f>
        <v>374700000X</v>
      </c>
      <c r="D884" s="1" t="s">
        <v>1808</v>
      </c>
      <c r="E884" s="1"/>
      <c r="F884" s="1" t="s">
        <v>2587</v>
      </c>
      <c r="G884" s="3" t="s">
        <v>2588</v>
      </c>
      <c r="H884" s="1" t="s">
        <v>2598</v>
      </c>
      <c r="I884" s="1"/>
      <c r="J884" s="1" t="s">
        <v>2590</v>
      </c>
      <c r="K884" s="1" t="s">
        <v>2682</v>
      </c>
      <c r="L884" s="1" t="s">
        <v>2598</v>
      </c>
      <c r="M884" s="1"/>
      <c r="N884" s="1"/>
      <c r="O884" s="1" t="s">
        <v>2682</v>
      </c>
      <c r="P884" s="9"/>
      <c r="R884" s="16">
        <f ca="1">IF(ISNUMBER(SEARCH(INDIRECT(CELL("address")),S884)),MAX($R$1:R883)+1,0)</f>
        <v>883</v>
      </c>
      <c r="S884" s="18" t="str">
        <f>Table1[[#This Row],[Portico_Specialty]]&amp;"-"&amp;Table1[[#This Row],[Code]]</f>
        <v>Technician-374700000X</v>
      </c>
      <c r="U884" s="16" t="str">
        <f ca="1">IFERROR(VLOOKUP(ROWS($U$1:U883),$R$2:$S$918,2,FALSE),"")</f>
        <v>Technician-374700000X</v>
      </c>
    </row>
    <row r="885" spans="1:21" x14ac:dyDescent="0.3">
      <c r="A885" s="21" t="s">
        <v>1233</v>
      </c>
      <c r="B885" s="21" t="str">
        <f>Table1[[#This Row],[Code]]&amp;" "&amp;Table1[[#This Row],[Portico_Specialty]]</f>
        <v>246W00000X Technician, Cardiology</v>
      </c>
      <c r="C885" s="21" t="str">
        <f>CLEAN(Table1[[#This Row],[Code]])</f>
        <v>246W00000X</v>
      </c>
      <c r="D885" s="1" t="s">
        <v>1234</v>
      </c>
      <c r="E885" s="1"/>
      <c r="F885" s="1" t="s">
        <v>2587</v>
      </c>
      <c r="G885" s="3" t="s">
        <v>2588</v>
      </c>
      <c r="H885" s="1" t="s">
        <v>2615</v>
      </c>
      <c r="I885" s="1"/>
      <c r="J885" s="1" t="s">
        <v>2590</v>
      </c>
      <c r="K885" s="1" t="s">
        <v>2720</v>
      </c>
      <c r="L885" s="1" t="s">
        <v>2821</v>
      </c>
      <c r="M885" s="1"/>
      <c r="N885" s="1"/>
      <c r="O885" s="1" t="s">
        <v>2720</v>
      </c>
      <c r="P885" s="9"/>
      <c r="R885" s="16">
        <f ca="1">IF(ISNUMBER(SEARCH(INDIRECT(CELL("address")),S885)),MAX($R$1:R884)+1,0)</f>
        <v>884</v>
      </c>
      <c r="S885" s="18" t="str">
        <f>Table1[[#This Row],[Portico_Specialty]]&amp;"-"&amp;Table1[[#This Row],[Code]]</f>
        <v>Technician, Cardiology-246W00000X</v>
      </c>
      <c r="U885" s="16" t="str">
        <f ca="1">IFERROR(VLOOKUP(ROWS($U$1:U884),$R$2:$S$918,2,FALSE),"")</f>
        <v>Technician, Cardiology-246W00000X</v>
      </c>
    </row>
    <row r="886" spans="1:21" x14ac:dyDescent="0.3">
      <c r="A886" s="21" t="s">
        <v>1283</v>
      </c>
      <c r="B886" s="21" t="str">
        <f>Table1[[#This Row],[Code]]&amp;" "&amp;Table1[[#This Row],[Portico_Specialty]]</f>
        <v>247000000X Technician, Health Information</v>
      </c>
      <c r="C886" s="21" t="str">
        <f>CLEAN(Table1[[#This Row],[Code]])</f>
        <v>247000000X</v>
      </c>
      <c r="D886" s="1" t="s">
        <v>1284</v>
      </c>
      <c r="E886" s="1"/>
      <c r="F886" s="1" t="s">
        <v>2587</v>
      </c>
      <c r="G886" s="3" t="s">
        <v>2588</v>
      </c>
      <c r="H886" s="1" t="s">
        <v>2615</v>
      </c>
      <c r="I886" s="1"/>
      <c r="J886" s="1" t="s">
        <v>2590</v>
      </c>
      <c r="K886" s="1" t="s">
        <v>2682</v>
      </c>
      <c r="L886" s="1" t="s">
        <v>2821</v>
      </c>
      <c r="M886" s="1"/>
      <c r="N886" s="1"/>
      <c r="O886" s="1" t="s">
        <v>2682</v>
      </c>
      <c r="P886" s="9"/>
      <c r="R886" s="16">
        <f ca="1">IF(ISNUMBER(SEARCH(INDIRECT(CELL("address")),S886)),MAX($R$1:R885)+1,0)</f>
        <v>885</v>
      </c>
      <c r="S886" s="18" t="str">
        <f>Table1[[#This Row],[Portico_Specialty]]&amp;"-"&amp;Table1[[#This Row],[Code]]</f>
        <v>Technician, Health Information-247000000X</v>
      </c>
      <c r="U886" s="16" t="str">
        <f ca="1">IFERROR(VLOOKUP(ROWS($U$1:U885),$R$2:$S$918,2,FALSE),"")</f>
        <v>Technician, Health Information-247000000X</v>
      </c>
    </row>
    <row r="887" spans="1:21" ht="30.75" x14ac:dyDescent="0.3">
      <c r="A887" s="21" t="s">
        <v>1285</v>
      </c>
      <c r="B887" s="21" t="str">
        <f>Table1[[#This Row],[Code]]&amp;" "&amp;Table1[[#This Row],[Portico_Specialty]]</f>
        <v>2470A2800X Technician, Health Information: Assistant Record Technician</v>
      </c>
      <c r="C887" s="21" t="str">
        <f>CLEAN(Table1[[#This Row],[Code]])</f>
        <v>2470A2800X</v>
      </c>
      <c r="D887" s="1" t="s">
        <v>1286</v>
      </c>
      <c r="E887" s="1"/>
      <c r="F887" s="1" t="s">
        <v>2587</v>
      </c>
      <c r="G887" s="3" t="s">
        <v>2588</v>
      </c>
      <c r="H887" s="1"/>
      <c r="I887" s="1"/>
      <c r="J887" s="1" t="s">
        <v>2590</v>
      </c>
      <c r="K887" s="1" t="s">
        <v>2682</v>
      </c>
      <c r="L887" s="1"/>
      <c r="M887" s="1"/>
      <c r="N887" s="1"/>
      <c r="O887" s="1" t="s">
        <v>2682</v>
      </c>
      <c r="P887" s="9"/>
      <c r="R887" s="16">
        <f ca="1">IF(ISNUMBER(SEARCH(INDIRECT(CELL("address")),S887)),MAX($R$1:R886)+1,0)</f>
        <v>886</v>
      </c>
      <c r="S887" s="18" t="str">
        <f>Table1[[#This Row],[Portico_Specialty]]&amp;"-"&amp;Table1[[#This Row],[Code]]</f>
        <v>Technician, Health Information: Assistant Record Technician-2470A2800X</v>
      </c>
      <c r="U887" s="16" t="str">
        <f ca="1">IFERROR(VLOOKUP(ROWS($U$1:U886),$R$2:$S$918,2,FALSE),"")</f>
        <v>Technician, Health Information: Assistant Record Technician-2470A2800X</v>
      </c>
    </row>
    <row r="888" spans="1:21" x14ac:dyDescent="0.3">
      <c r="A888" s="21" t="s">
        <v>1315</v>
      </c>
      <c r="B888" s="21" t="str">
        <f>Table1[[#This Row],[Code]]&amp;" "&amp;Table1[[#This Row],[Portico_Specialty]]</f>
        <v>247200000X Technician, Other</v>
      </c>
      <c r="C888" s="21" t="str">
        <f>CLEAN(Table1[[#This Row],[Code]])</f>
        <v>247200000X</v>
      </c>
      <c r="D888" s="1" t="s">
        <v>1316</v>
      </c>
      <c r="E888" s="1"/>
      <c r="F888" s="1" t="s">
        <v>2587</v>
      </c>
      <c r="G888" s="4" t="s">
        <v>2593</v>
      </c>
      <c r="H888" s="1" t="s">
        <v>2615</v>
      </c>
      <c r="I888" s="1"/>
      <c r="J888" s="1" t="s">
        <v>2590</v>
      </c>
      <c r="K888" s="1" t="s">
        <v>2590</v>
      </c>
      <c r="L888" s="1" t="s">
        <v>2821</v>
      </c>
      <c r="M888" s="1"/>
      <c r="N888" s="1" t="s">
        <v>2879</v>
      </c>
      <c r="O888" s="1" t="s">
        <v>2590</v>
      </c>
      <c r="P888" s="9"/>
      <c r="R888" s="16">
        <f ca="1">IF(ISNUMBER(SEARCH(INDIRECT(CELL("address")),S888)),MAX($R$1:R887)+1,0)</f>
        <v>887</v>
      </c>
      <c r="S888" s="18" t="str">
        <f>Table1[[#This Row],[Portico_Specialty]]&amp;"-"&amp;Table1[[#This Row],[Code]]</f>
        <v>Technician, Other-247200000X</v>
      </c>
      <c r="U888" s="16" t="str">
        <f ca="1">IFERROR(VLOOKUP(ROWS($U$1:U887),$R$2:$S$918,2,FALSE),"")</f>
        <v>Technician, Other-247200000X</v>
      </c>
    </row>
    <row r="889" spans="1:21" x14ac:dyDescent="0.3">
      <c r="A889" s="21" t="s">
        <v>1317</v>
      </c>
      <c r="B889" s="21" t="str">
        <f>Table1[[#This Row],[Code]]&amp;" "&amp;Table1[[#This Row],[Portico_Specialty]]</f>
        <v>2472B0301X Technician, Other: Biomedical Engineering</v>
      </c>
      <c r="C889" s="21" t="str">
        <f>CLEAN(Table1[[#This Row],[Code]])</f>
        <v>2472B0301X</v>
      </c>
      <c r="D889" s="1" t="s">
        <v>1318</v>
      </c>
      <c r="E889" s="1"/>
      <c r="F889" s="1" t="s">
        <v>2587</v>
      </c>
      <c r="G889" s="3" t="s">
        <v>2588</v>
      </c>
      <c r="H889" s="1" t="s">
        <v>2615</v>
      </c>
      <c r="I889" s="1"/>
      <c r="J889" s="1" t="s">
        <v>2590</v>
      </c>
      <c r="K889" s="1" t="s">
        <v>2590</v>
      </c>
      <c r="L889" s="1"/>
      <c r="M889" s="1"/>
      <c r="N889" s="1"/>
      <c r="O889" s="1" t="s">
        <v>2590</v>
      </c>
      <c r="P889" s="9"/>
      <c r="R889" s="16">
        <f ca="1">IF(ISNUMBER(SEARCH(INDIRECT(CELL("address")),S889)),MAX($R$1:R888)+1,0)</f>
        <v>888</v>
      </c>
      <c r="S889" s="18" t="str">
        <f>Table1[[#This Row],[Portico_Specialty]]&amp;"-"&amp;Table1[[#This Row],[Code]]</f>
        <v>Technician, Other: Biomedical Engineering-2472B0301X</v>
      </c>
      <c r="U889" s="16" t="str">
        <f ca="1">IFERROR(VLOOKUP(ROWS($U$1:U888),$R$2:$S$918,2,FALSE),"")</f>
        <v>Technician, Other: Biomedical Engineering-2472B0301X</v>
      </c>
    </row>
    <row r="890" spans="1:21" x14ac:dyDescent="0.3">
      <c r="A890" s="21" t="s">
        <v>1319</v>
      </c>
      <c r="B890" s="21" t="str">
        <f>Table1[[#This Row],[Code]]&amp;" "&amp;Table1[[#This Row],[Portico_Specialty]]</f>
        <v>2472D0500X Technician, Other: Darkroom</v>
      </c>
      <c r="C890" s="21" t="str">
        <f>CLEAN(Table1[[#This Row],[Code]])</f>
        <v>2472D0500X</v>
      </c>
      <c r="D890" s="1" t="s">
        <v>1320</v>
      </c>
      <c r="E890" s="1"/>
      <c r="F890" s="1" t="s">
        <v>2587</v>
      </c>
      <c r="G890" s="3" t="s">
        <v>2588</v>
      </c>
      <c r="H890" s="1" t="s">
        <v>2615</v>
      </c>
      <c r="I890" s="1"/>
      <c r="J890" s="1" t="s">
        <v>2590</v>
      </c>
      <c r="K890" s="1" t="s">
        <v>2590</v>
      </c>
      <c r="L890" s="1"/>
      <c r="M890" s="1"/>
      <c r="N890" s="1"/>
      <c r="O890" s="1" t="s">
        <v>2590</v>
      </c>
      <c r="P890" s="9"/>
      <c r="R890" s="16">
        <f ca="1">IF(ISNUMBER(SEARCH(INDIRECT(CELL("address")),S890)),MAX($R$1:R889)+1,0)</f>
        <v>889</v>
      </c>
      <c r="S890" s="18" t="str">
        <f>Table1[[#This Row],[Portico_Specialty]]&amp;"-"&amp;Table1[[#This Row],[Code]]</f>
        <v>Technician, Other: Darkroom-2472D0500X</v>
      </c>
      <c r="U890" s="16" t="str">
        <f ca="1">IFERROR(VLOOKUP(ROWS($U$1:U889),$R$2:$S$918,2,FALSE),"")</f>
        <v>Technician, Other: Darkroom-2472D0500X</v>
      </c>
    </row>
    <row r="891" spans="1:21" x14ac:dyDescent="0.3">
      <c r="A891" s="21" t="s">
        <v>1321</v>
      </c>
      <c r="B891" s="21" t="str">
        <f>Table1[[#This Row],[Code]]&amp;" "&amp;Table1[[#This Row],[Portico_Specialty]]</f>
        <v>2472E0500X Technician, Other: EEG</v>
      </c>
      <c r="C891" s="21" t="str">
        <f>CLEAN(Table1[[#This Row],[Code]])</f>
        <v>2472E0500X</v>
      </c>
      <c r="D891" s="1" t="s">
        <v>1322</v>
      </c>
      <c r="E891" s="1"/>
      <c r="F891" s="1" t="s">
        <v>2587</v>
      </c>
      <c r="G891" s="3" t="s">
        <v>2588</v>
      </c>
      <c r="H891" s="1" t="s">
        <v>2615</v>
      </c>
      <c r="I891" s="1"/>
      <c r="J891" s="1" t="s">
        <v>2590</v>
      </c>
      <c r="K891" s="1" t="s">
        <v>2590</v>
      </c>
      <c r="L891" s="1"/>
      <c r="M891" s="1"/>
      <c r="N891" s="1"/>
      <c r="O891" s="1" t="s">
        <v>2590</v>
      </c>
      <c r="P891" s="9"/>
      <c r="R891" s="16">
        <f ca="1">IF(ISNUMBER(SEARCH(INDIRECT(CELL("address")),S891)),MAX($R$1:R890)+1,0)</f>
        <v>890</v>
      </c>
      <c r="S891" s="18" t="str">
        <f>Table1[[#This Row],[Portico_Specialty]]&amp;"-"&amp;Table1[[#This Row],[Code]]</f>
        <v>Technician, Other: EEG-2472E0500X</v>
      </c>
      <c r="U891" s="16" t="str">
        <f ca="1">IFERROR(VLOOKUP(ROWS($U$1:U890),$R$2:$S$918,2,FALSE),"")</f>
        <v>Technician, Other: EEG-2472E0500X</v>
      </c>
    </row>
    <row r="892" spans="1:21" x14ac:dyDescent="0.3">
      <c r="A892" s="21" t="s">
        <v>1323</v>
      </c>
      <c r="B892" s="21" t="str">
        <f>Table1[[#This Row],[Code]]&amp;" "&amp;Table1[[#This Row],[Portico_Specialty]]</f>
        <v>2472R0900X Technician, Other: Renal Dialysis</v>
      </c>
      <c r="C892" s="21" t="str">
        <f>CLEAN(Table1[[#This Row],[Code]])</f>
        <v>2472R0900X</v>
      </c>
      <c r="D892" s="1" t="s">
        <v>1324</v>
      </c>
      <c r="E892" s="1"/>
      <c r="F892" s="1" t="s">
        <v>2587</v>
      </c>
      <c r="G892" s="3" t="s">
        <v>2588</v>
      </c>
      <c r="H892" s="1" t="s">
        <v>2615</v>
      </c>
      <c r="I892" s="1"/>
      <c r="J892" s="1" t="s">
        <v>2590</v>
      </c>
      <c r="K892" s="1" t="s">
        <v>2590</v>
      </c>
      <c r="L892" s="1"/>
      <c r="M892" s="1"/>
      <c r="N892" s="1"/>
      <c r="O892" s="1" t="s">
        <v>2590</v>
      </c>
      <c r="P892" s="9"/>
      <c r="R892" s="16">
        <f ca="1">IF(ISNUMBER(SEARCH(INDIRECT(CELL("address")),S892)),MAX($R$1:R891)+1,0)</f>
        <v>891</v>
      </c>
      <c r="S892" s="18" t="str">
        <f>Table1[[#This Row],[Portico_Specialty]]&amp;"-"&amp;Table1[[#This Row],[Code]]</f>
        <v>Technician, Other: Renal Dialysis-2472R0900X</v>
      </c>
      <c r="U892" s="16" t="str">
        <f ca="1">IFERROR(VLOOKUP(ROWS($U$1:U891),$R$2:$S$918,2,FALSE),"")</f>
        <v>Technician, Other: Renal Dialysis-2472R0900X</v>
      </c>
    </row>
    <row r="893" spans="1:21" x14ac:dyDescent="0.3">
      <c r="A893" s="21" t="s">
        <v>1325</v>
      </c>
      <c r="B893" s="21" t="str">
        <f>Table1[[#This Row],[Code]]&amp;" "&amp;Table1[[#This Row],[Portico_Specialty]]</f>
        <v>2472V0600X Technician, Other: Veterinary</v>
      </c>
      <c r="C893" s="21" t="str">
        <f>CLEAN(Table1[[#This Row],[Code]])</f>
        <v>2472V0600X</v>
      </c>
      <c r="D893" s="1" t="s">
        <v>1326</v>
      </c>
      <c r="E893" s="1"/>
      <c r="F893" s="1" t="s">
        <v>2587</v>
      </c>
      <c r="G893" s="3" t="s">
        <v>2588</v>
      </c>
      <c r="H893" s="1"/>
      <c r="I893" s="1"/>
      <c r="J893" s="1" t="s">
        <v>2590</v>
      </c>
      <c r="K893" s="1" t="s">
        <v>2590</v>
      </c>
      <c r="L893" s="1"/>
      <c r="M893" s="1"/>
      <c r="N893" s="1"/>
      <c r="O893" s="1" t="s">
        <v>2590</v>
      </c>
      <c r="P893" s="9"/>
      <c r="R893" s="16">
        <f ca="1">IF(ISNUMBER(SEARCH(INDIRECT(CELL("address")),S893)),MAX($R$1:R892)+1,0)</f>
        <v>892</v>
      </c>
      <c r="S893" s="18" t="str">
        <f>Table1[[#This Row],[Portico_Specialty]]&amp;"-"&amp;Table1[[#This Row],[Code]]</f>
        <v>Technician, Other: Veterinary-2472V0600X</v>
      </c>
      <c r="U893" s="16" t="str">
        <f ca="1">IFERROR(VLOOKUP(ROWS($U$1:U892),$R$2:$S$918,2,FALSE),"")</f>
        <v>Technician, Other: Veterinary-2472V0600X</v>
      </c>
    </row>
    <row r="894" spans="1:21" x14ac:dyDescent="0.3">
      <c r="A894" s="21" t="s">
        <v>1225</v>
      </c>
      <c r="B894" s="21" t="str">
        <f>Table1[[#This Row],[Code]]&amp;" "&amp;Table1[[#This Row],[Portico_Specialty]]</f>
        <v>246R00000X Technician, Pathology</v>
      </c>
      <c r="C894" s="21" t="str">
        <f>CLEAN(Table1[[#This Row],[Code]])</f>
        <v>246R00000X</v>
      </c>
      <c r="D894" s="1" t="s">
        <v>1226</v>
      </c>
      <c r="E894" s="1"/>
      <c r="F894" s="1" t="s">
        <v>2587</v>
      </c>
      <c r="G894" s="3" t="s">
        <v>2588</v>
      </c>
      <c r="H894" s="1" t="s">
        <v>2615</v>
      </c>
      <c r="I894" s="1"/>
      <c r="J894" s="1" t="s">
        <v>2590</v>
      </c>
      <c r="K894" s="1" t="s">
        <v>2815</v>
      </c>
      <c r="L894" s="1" t="s">
        <v>2821</v>
      </c>
      <c r="M894" s="1"/>
      <c r="N894" s="1"/>
      <c r="O894" s="1" t="s">
        <v>2815</v>
      </c>
      <c r="P894" s="9"/>
      <c r="R894" s="16">
        <f ca="1">IF(ISNUMBER(SEARCH(INDIRECT(CELL("address")),S894)),MAX($R$1:R893)+1,0)</f>
        <v>893</v>
      </c>
      <c r="S894" s="18" t="str">
        <f>Table1[[#This Row],[Portico_Specialty]]&amp;"-"&amp;Table1[[#This Row],[Code]]</f>
        <v>Technician, Pathology-246R00000X</v>
      </c>
      <c r="U894" s="16" t="str">
        <f ca="1">IFERROR(VLOOKUP(ROWS($U$1:U893),$R$2:$S$918,2,FALSE),"")</f>
        <v>Technician, Pathology-246R00000X</v>
      </c>
    </row>
    <row r="895" spans="1:21" x14ac:dyDescent="0.3">
      <c r="A895" s="21" t="s">
        <v>1227</v>
      </c>
      <c r="B895" s="21" t="str">
        <f>Table1[[#This Row],[Code]]&amp;" "&amp;Table1[[#This Row],[Portico_Specialty]]</f>
        <v>246RH0600X Technician, Pathology: Histology</v>
      </c>
      <c r="C895" s="21" t="str">
        <f>CLEAN(Table1[[#This Row],[Code]])</f>
        <v>246RH0600X</v>
      </c>
      <c r="D895" s="1" t="s">
        <v>1228</v>
      </c>
      <c r="E895" s="1"/>
      <c r="F895" s="1" t="s">
        <v>2587</v>
      </c>
      <c r="G895" s="3" t="s">
        <v>2588</v>
      </c>
      <c r="H895" s="1" t="s">
        <v>2615</v>
      </c>
      <c r="I895" s="1"/>
      <c r="J895" s="1" t="s">
        <v>2590</v>
      </c>
      <c r="K895" s="1" t="s">
        <v>2815</v>
      </c>
      <c r="L895" s="1"/>
      <c r="M895" s="1"/>
      <c r="N895" s="1"/>
      <c r="O895" s="1" t="s">
        <v>2815</v>
      </c>
      <c r="P895" s="9"/>
      <c r="R895" s="16">
        <f ca="1">IF(ISNUMBER(SEARCH(INDIRECT(CELL("address")),S895)),MAX($R$1:R894)+1,0)</f>
        <v>894</v>
      </c>
      <c r="S895" s="18" t="str">
        <f>Table1[[#This Row],[Portico_Specialty]]&amp;"-"&amp;Table1[[#This Row],[Code]]</f>
        <v>Technician, Pathology: Histology-246RH0600X</v>
      </c>
      <c r="U895" s="16" t="str">
        <f ca="1">IFERROR(VLOOKUP(ROWS($U$1:U894),$R$2:$S$918,2,FALSE),"")</f>
        <v>Technician, Pathology: Histology-246RH0600X</v>
      </c>
    </row>
    <row r="896" spans="1:21" x14ac:dyDescent="0.3">
      <c r="A896" s="21" t="s">
        <v>1229</v>
      </c>
      <c r="B896" s="21" t="str">
        <f>Table1[[#This Row],[Code]]&amp;" "&amp;Table1[[#This Row],[Portico_Specialty]]</f>
        <v>246RM2200X Technician, Pathology: Medical Laboratory</v>
      </c>
      <c r="C896" s="21" t="str">
        <f>CLEAN(Table1[[#This Row],[Code]])</f>
        <v>246RM2200X</v>
      </c>
      <c r="D896" s="1" t="s">
        <v>1230</v>
      </c>
      <c r="E896" s="1"/>
      <c r="F896" s="1" t="s">
        <v>2587</v>
      </c>
      <c r="G896" s="3" t="s">
        <v>2588</v>
      </c>
      <c r="H896" s="1" t="s">
        <v>2615</v>
      </c>
      <c r="I896" s="1"/>
      <c r="J896" s="1" t="s">
        <v>2590</v>
      </c>
      <c r="K896" s="1" t="s">
        <v>2815</v>
      </c>
      <c r="L896" s="1"/>
      <c r="M896" s="1"/>
      <c r="N896" s="1"/>
      <c r="O896" s="1" t="s">
        <v>2815</v>
      </c>
      <c r="P896" s="9"/>
      <c r="R896" s="16">
        <f ca="1">IF(ISNUMBER(SEARCH(INDIRECT(CELL("address")),S896)),MAX($R$1:R895)+1,0)</f>
        <v>895</v>
      </c>
      <c r="S896" s="18" t="str">
        <f>Table1[[#This Row],[Portico_Specialty]]&amp;"-"&amp;Table1[[#This Row],[Code]]</f>
        <v>Technician, Pathology: Medical Laboratory-246RM2200X</v>
      </c>
      <c r="U896" s="16" t="str">
        <f ca="1">IFERROR(VLOOKUP(ROWS($U$1:U895),$R$2:$S$918,2,FALSE),"")</f>
        <v>Technician, Pathology: Medical Laboratory-246RM2200X</v>
      </c>
    </row>
    <row r="897" spans="1:21" x14ac:dyDescent="0.3">
      <c r="A897" s="21" t="s">
        <v>1231</v>
      </c>
      <c r="B897" s="21" t="str">
        <f>Table1[[#This Row],[Code]]&amp;" "&amp;Table1[[#This Row],[Portico_Specialty]]</f>
        <v>246RP1900X Technician, Pathology: Phlebotomy</v>
      </c>
      <c r="C897" s="21" t="str">
        <f>CLEAN(Table1[[#This Row],[Code]])</f>
        <v>246RP1900X</v>
      </c>
      <c r="D897" s="1" t="s">
        <v>1232</v>
      </c>
      <c r="E897" s="1"/>
      <c r="F897" s="1" t="s">
        <v>2587</v>
      </c>
      <c r="G897" s="3" t="s">
        <v>2588</v>
      </c>
      <c r="H897" s="1" t="s">
        <v>2615</v>
      </c>
      <c r="I897" s="1"/>
      <c r="J897" s="1" t="s">
        <v>2590</v>
      </c>
      <c r="K897" s="1" t="s">
        <v>2815</v>
      </c>
      <c r="L897" s="1"/>
      <c r="M897" s="1"/>
      <c r="N897" s="1"/>
      <c r="O897" s="1" t="s">
        <v>2815</v>
      </c>
      <c r="P897" s="9"/>
      <c r="R897" s="16">
        <f ca="1">IF(ISNUMBER(SEARCH(INDIRECT(CELL("address")),S897)),MAX($R$1:R896)+1,0)</f>
        <v>896</v>
      </c>
      <c r="S897" s="18" t="str">
        <f>Table1[[#This Row],[Portico_Specialty]]&amp;"-"&amp;Table1[[#This Row],[Code]]</f>
        <v>Technician, Pathology: Phlebotomy-246RP1900X</v>
      </c>
      <c r="U897" s="16" t="str">
        <f ca="1">IFERROR(VLOOKUP(ROWS($U$1:U896),$R$2:$S$918,2,FALSE),"")</f>
        <v>Technician, Pathology: Phlebotomy-246RP1900X</v>
      </c>
    </row>
    <row r="898" spans="1:21" x14ac:dyDescent="0.3">
      <c r="A898" s="21" t="s">
        <v>301</v>
      </c>
      <c r="B898" s="21" t="str">
        <f>Table1[[#This Row],[Code]]&amp;" "&amp;Table1[[#This Row],[Portico_Specialty]]</f>
        <v>156F00000X Technician/Technologist</v>
      </c>
      <c r="C898" s="21" t="str">
        <f>CLEAN(Table1[[#This Row],[Code]])</f>
        <v>156F00000X</v>
      </c>
      <c r="D898" s="1" t="s">
        <v>302</v>
      </c>
      <c r="E898" s="1"/>
      <c r="F898" s="1" t="s">
        <v>2587</v>
      </c>
      <c r="G898" s="3" t="s">
        <v>2588</v>
      </c>
      <c r="H898" s="1" t="s">
        <v>2821</v>
      </c>
      <c r="I898" s="1"/>
      <c r="J898" s="1" t="s">
        <v>2821</v>
      </c>
      <c r="K898" s="1" t="s">
        <v>2704</v>
      </c>
      <c r="L898" s="1" t="s">
        <v>2821</v>
      </c>
      <c r="M898" s="1" t="s">
        <v>2821</v>
      </c>
      <c r="N898" s="1" t="s">
        <v>2821</v>
      </c>
      <c r="O898" s="1" t="s">
        <v>2704</v>
      </c>
      <c r="P898" s="9"/>
      <c r="R898" s="16">
        <f ca="1">IF(ISNUMBER(SEARCH(INDIRECT(CELL("address")),S898)),MAX($R$1:R897)+1,0)</f>
        <v>897</v>
      </c>
      <c r="S898" s="18" t="str">
        <f>Table1[[#This Row],[Portico_Specialty]]&amp;"-"&amp;Table1[[#This Row],[Code]]</f>
        <v>Technician/Technologist-156F00000X</v>
      </c>
      <c r="U898" s="16" t="str">
        <f ca="1">IFERROR(VLOOKUP(ROWS($U$1:U897),$R$2:$S$918,2,FALSE),"")</f>
        <v>Technician/Technologist-156F00000X</v>
      </c>
    </row>
    <row r="899" spans="1:21" x14ac:dyDescent="0.3">
      <c r="A899" s="21" t="s">
        <v>303</v>
      </c>
      <c r="B899" s="21" t="str">
        <f>Table1[[#This Row],[Code]]&amp;" "&amp;Table1[[#This Row],[Portico_Specialty]]</f>
        <v>156FC0800X Technician/Technologist: Contact Lens</v>
      </c>
      <c r="C899" s="21" t="str">
        <f>CLEAN(Table1[[#This Row],[Code]])</f>
        <v>156FC0800X</v>
      </c>
      <c r="D899" s="1" t="s">
        <v>304</v>
      </c>
      <c r="E899" s="1"/>
      <c r="F899" s="1" t="s">
        <v>2587</v>
      </c>
      <c r="G899" s="3" t="s">
        <v>2588</v>
      </c>
      <c r="H899" s="1" t="s">
        <v>2821</v>
      </c>
      <c r="I899" s="1"/>
      <c r="J899" s="1" t="s">
        <v>2821</v>
      </c>
      <c r="K899" s="1" t="s">
        <v>2704</v>
      </c>
      <c r="L899" s="1" t="s">
        <v>2821</v>
      </c>
      <c r="M899" s="1" t="s">
        <v>2821</v>
      </c>
      <c r="N899" s="1" t="s">
        <v>2821</v>
      </c>
      <c r="O899" s="1" t="s">
        <v>2704</v>
      </c>
      <c r="P899" s="9"/>
      <c r="R899" s="16">
        <f ca="1">IF(ISNUMBER(SEARCH(INDIRECT(CELL("address")),S899)),MAX($R$1:R898)+1,0)</f>
        <v>898</v>
      </c>
      <c r="S899" s="18" t="str">
        <f>Table1[[#This Row],[Portico_Specialty]]&amp;"-"&amp;Table1[[#This Row],[Code]]</f>
        <v>Technician/Technologist: Contact Lens-156FC0800X</v>
      </c>
      <c r="U899" s="16" t="str">
        <f ca="1">IFERROR(VLOOKUP(ROWS($U$1:U898),$R$2:$S$918,2,FALSE),"")</f>
        <v>Technician/Technologist: Contact Lens-156FC0800X</v>
      </c>
    </row>
    <row r="900" spans="1:21" ht="30.75" x14ac:dyDescent="0.3">
      <c r="A900" s="21" t="s">
        <v>305</v>
      </c>
      <c r="B900" s="21" t="str">
        <f>Table1[[#This Row],[Code]]&amp;" "&amp;Table1[[#This Row],[Portico_Specialty]]</f>
        <v>156FC0801X Technician/Technologist: Contact Lens Fitter</v>
      </c>
      <c r="C900" s="21" t="str">
        <f>CLEAN(Table1[[#This Row],[Code]])</f>
        <v>156FC0801X</v>
      </c>
      <c r="D900" s="1" t="s">
        <v>306</v>
      </c>
      <c r="E900" s="1"/>
      <c r="F900" s="1" t="s">
        <v>2587</v>
      </c>
      <c r="G900" s="3" t="s">
        <v>2588</v>
      </c>
      <c r="H900" s="1" t="s">
        <v>2821</v>
      </c>
      <c r="I900" s="1"/>
      <c r="J900" s="1" t="s">
        <v>2821</v>
      </c>
      <c r="K900" s="1" t="s">
        <v>2704</v>
      </c>
      <c r="L900" s="1" t="s">
        <v>2821</v>
      </c>
      <c r="M900" s="1" t="s">
        <v>2821</v>
      </c>
      <c r="N900" s="1" t="s">
        <v>2821</v>
      </c>
      <c r="O900" s="1" t="s">
        <v>2704</v>
      </c>
      <c r="P900" s="9"/>
      <c r="R900" s="16">
        <f ca="1">IF(ISNUMBER(SEARCH(INDIRECT(CELL("address")),S900)),MAX($R$1:R899)+1,0)</f>
        <v>899</v>
      </c>
      <c r="S900" s="18" t="str">
        <f>Table1[[#This Row],[Portico_Specialty]]&amp;"-"&amp;Table1[[#This Row],[Code]]</f>
        <v>Technician/Technologist: Contact Lens Fitter-156FC0801X</v>
      </c>
      <c r="U900" s="16" t="str">
        <f ca="1">IFERROR(VLOOKUP(ROWS($U$1:U899),$R$2:$S$918,2,FALSE),"")</f>
        <v>Technician/Technologist: Contact Lens Fitter-156FC0801X</v>
      </c>
    </row>
    <row r="901" spans="1:21" x14ac:dyDescent="0.3">
      <c r="A901" s="21" t="s">
        <v>315</v>
      </c>
      <c r="B901" s="21" t="str">
        <f>Table1[[#This Row],[Code]]&amp;" "&amp;Table1[[#This Row],[Portico_Specialty]]</f>
        <v>156FX1700X Technician/Technologist: Ocularist</v>
      </c>
      <c r="C901" s="21" t="str">
        <f>CLEAN(Table1[[#This Row],[Code]])</f>
        <v>156FX1700X</v>
      </c>
      <c r="D901" s="1" t="s">
        <v>316</v>
      </c>
      <c r="E901" s="1"/>
      <c r="F901" s="1" t="s">
        <v>2587</v>
      </c>
      <c r="G901" s="3" t="s">
        <v>2588</v>
      </c>
      <c r="H901" s="1" t="s">
        <v>2821</v>
      </c>
      <c r="I901" s="1"/>
      <c r="J901" s="1" t="s">
        <v>2821</v>
      </c>
      <c r="K901" s="1" t="s">
        <v>2704</v>
      </c>
      <c r="L901" s="1" t="s">
        <v>2821</v>
      </c>
      <c r="M901" s="1" t="s">
        <v>2821</v>
      </c>
      <c r="N901" s="1" t="s">
        <v>2880</v>
      </c>
      <c r="O901" s="1" t="s">
        <v>2704</v>
      </c>
      <c r="P901" s="9"/>
      <c r="R901" s="16">
        <f ca="1">IF(ISNUMBER(SEARCH(INDIRECT(CELL("address")),S901)),MAX($R$1:R900)+1,0)</f>
        <v>900</v>
      </c>
      <c r="S901" s="18" t="str">
        <f>Table1[[#This Row],[Portico_Specialty]]&amp;"-"&amp;Table1[[#This Row],[Code]]</f>
        <v>Technician/Technologist: Ocularist-156FX1700X</v>
      </c>
      <c r="U901" s="16" t="str">
        <f ca="1">IFERROR(VLOOKUP(ROWS($U$1:U900),$R$2:$S$918,2,FALSE),"")</f>
        <v>Technician/Technologist: Ocularist-156FX1700X</v>
      </c>
    </row>
    <row r="902" spans="1:21" x14ac:dyDescent="0.3">
      <c r="A902" s="21" t="s">
        <v>307</v>
      </c>
      <c r="B902" s="21" t="str">
        <f>Table1[[#This Row],[Code]]&amp;" "&amp;Table1[[#This Row],[Portico_Specialty]]</f>
        <v>156FX1100X Technician/Technologist: Ophthalmic</v>
      </c>
      <c r="C902" s="21" t="str">
        <f>CLEAN(Table1[[#This Row],[Code]])</f>
        <v>156FX1100X</v>
      </c>
      <c r="D902" s="1" t="s">
        <v>308</v>
      </c>
      <c r="E902" s="1"/>
      <c r="F902" s="1" t="s">
        <v>2587</v>
      </c>
      <c r="G902" s="3" t="s">
        <v>2588</v>
      </c>
      <c r="H902" s="1" t="s">
        <v>2821</v>
      </c>
      <c r="I902" s="1"/>
      <c r="J902" s="1" t="s">
        <v>2821</v>
      </c>
      <c r="K902" s="1" t="s">
        <v>2704</v>
      </c>
      <c r="L902" s="1" t="s">
        <v>2821</v>
      </c>
      <c r="M902" s="1" t="s">
        <v>2821</v>
      </c>
      <c r="N902" s="1" t="s">
        <v>2821</v>
      </c>
      <c r="O902" s="1" t="s">
        <v>2704</v>
      </c>
      <c r="P902" s="9"/>
      <c r="R902" s="16">
        <f ca="1">IF(ISNUMBER(SEARCH(INDIRECT(CELL("address")),S902)),MAX($R$1:R901)+1,0)</f>
        <v>901</v>
      </c>
      <c r="S902" s="18" t="str">
        <f>Table1[[#This Row],[Portico_Specialty]]&amp;"-"&amp;Table1[[#This Row],[Code]]</f>
        <v>Technician/Technologist: Ophthalmic-156FX1100X</v>
      </c>
      <c r="U902" s="16" t="str">
        <f ca="1">IFERROR(VLOOKUP(ROWS($U$1:U901),$R$2:$S$918,2,FALSE),"")</f>
        <v>Technician/Technologist: Ophthalmic-156FX1100X</v>
      </c>
    </row>
    <row r="903" spans="1:21" ht="30.75" x14ac:dyDescent="0.3">
      <c r="A903" s="21" t="s">
        <v>309</v>
      </c>
      <c r="B903" s="21" t="str">
        <f>Table1[[#This Row],[Code]]&amp;" "&amp;Table1[[#This Row],[Portico_Specialty]]</f>
        <v>156FX1101X Technician/Technologist: Ophthalmic Assistant</v>
      </c>
      <c r="C903" s="21" t="str">
        <f>CLEAN(Table1[[#This Row],[Code]])</f>
        <v>156FX1101X</v>
      </c>
      <c r="D903" s="1" t="s">
        <v>310</v>
      </c>
      <c r="E903" s="1"/>
      <c r="F903" s="1" t="s">
        <v>2587</v>
      </c>
      <c r="G903" s="3" t="s">
        <v>2588</v>
      </c>
      <c r="H903" s="1" t="s">
        <v>2821</v>
      </c>
      <c r="I903" s="1"/>
      <c r="J903" s="1" t="s">
        <v>2821</v>
      </c>
      <c r="K903" s="1" t="s">
        <v>2704</v>
      </c>
      <c r="L903" s="1" t="s">
        <v>2821</v>
      </c>
      <c r="M903" s="1" t="s">
        <v>2821</v>
      </c>
      <c r="N903" s="1" t="s">
        <v>2821</v>
      </c>
      <c r="O903" s="1" t="s">
        <v>2704</v>
      </c>
      <c r="P903" s="9"/>
      <c r="R903" s="16">
        <f ca="1">IF(ISNUMBER(SEARCH(INDIRECT(CELL("address")),S903)),MAX($R$1:R902)+1,0)</f>
        <v>902</v>
      </c>
      <c r="S903" s="18" t="str">
        <f>Table1[[#This Row],[Portico_Specialty]]&amp;"-"&amp;Table1[[#This Row],[Code]]</f>
        <v>Technician/Technologist: Ophthalmic Assistant-156FX1101X</v>
      </c>
      <c r="U903" s="16" t="str">
        <f ca="1">IFERROR(VLOOKUP(ROWS($U$1:U902),$R$2:$S$918,2,FALSE),"")</f>
        <v>Technician/Technologist: Ophthalmic Assistant-156FX1101X</v>
      </c>
    </row>
    <row r="904" spans="1:21" x14ac:dyDescent="0.3">
      <c r="A904" s="21" t="s">
        <v>317</v>
      </c>
      <c r="B904" s="21" t="str">
        <f>Table1[[#This Row],[Code]]&amp;" "&amp;Table1[[#This Row],[Portico_Specialty]]</f>
        <v>156FX1800X Technician/Technologist: Optician</v>
      </c>
      <c r="C904" s="21" t="str">
        <f>CLEAN(Table1[[#This Row],[Code]])</f>
        <v>156FX1800X</v>
      </c>
      <c r="D904" s="1" t="s">
        <v>318</v>
      </c>
      <c r="E904" s="1"/>
      <c r="F904" s="1" t="s">
        <v>2587</v>
      </c>
      <c r="G904" s="4" t="s">
        <v>2593</v>
      </c>
      <c r="H904" s="1" t="s">
        <v>2821</v>
      </c>
      <c r="I904" s="1"/>
      <c r="J904" s="1" t="s">
        <v>2821</v>
      </c>
      <c r="K904" s="1" t="s">
        <v>2704</v>
      </c>
      <c r="L904" s="1" t="s">
        <v>2821</v>
      </c>
      <c r="M904" s="1" t="s">
        <v>2821</v>
      </c>
      <c r="N904" s="1" t="s">
        <v>2821</v>
      </c>
      <c r="O904" s="1" t="s">
        <v>2704</v>
      </c>
      <c r="P904" s="9"/>
      <c r="R904" s="16">
        <f ca="1">IF(ISNUMBER(SEARCH(INDIRECT(CELL("address")),S904)),MAX($R$1:R903)+1,0)</f>
        <v>903</v>
      </c>
      <c r="S904" s="18" t="str">
        <f>Table1[[#This Row],[Portico_Specialty]]&amp;"-"&amp;Table1[[#This Row],[Code]]</f>
        <v>Technician/Technologist: Optician-156FX1800X</v>
      </c>
      <c r="U904" s="16" t="str">
        <f ca="1">IFERROR(VLOOKUP(ROWS($U$1:U903),$R$2:$S$918,2,FALSE),"")</f>
        <v>Technician/Technologist: Optician-156FX1800X</v>
      </c>
    </row>
    <row r="905" spans="1:21" ht="30.75" x14ac:dyDescent="0.3">
      <c r="A905" s="21" t="s">
        <v>311</v>
      </c>
      <c r="B905" s="21" t="str">
        <f>Table1[[#This Row],[Code]]&amp;" "&amp;Table1[[#This Row],[Portico_Specialty]]</f>
        <v>156FX1201X Technician/Technologist: Optometric Assistant</v>
      </c>
      <c r="C905" s="21" t="str">
        <f>CLEAN(Table1[[#This Row],[Code]])</f>
        <v>156FX1201X</v>
      </c>
      <c r="D905" s="1" t="s">
        <v>312</v>
      </c>
      <c r="E905" s="1"/>
      <c r="F905" s="1" t="s">
        <v>2587</v>
      </c>
      <c r="G905" s="3" t="s">
        <v>2588</v>
      </c>
      <c r="H905" s="1" t="s">
        <v>2821</v>
      </c>
      <c r="I905" s="1"/>
      <c r="J905" s="1" t="s">
        <v>2821</v>
      </c>
      <c r="K905" s="1" t="s">
        <v>2704</v>
      </c>
      <c r="L905" s="1" t="s">
        <v>2821</v>
      </c>
      <c r="M905" s="1" t="s">
        <v>2821</v>
      </c>
      <c r="N905" s="1" t="s">
        <v>2821</v>
      </c>
      <c r="O905" s="1" t="s">
        <v>2704</v>
      </c>
      <c r="P905" s="9"/>
      <c r="R905" s="16">
        <f ca="1">IF(ISNUMBER(SEARCH(INDIRECT(CELL("address")),S905)),MAX($R$1:R904)+1,0)</f>
        <v>904</v>
      </c>
      <c r="S905" s="18" t="str">
        <f>Table1[[#This Row],[Portico_Specialty]]&amp;"-"&amp;Table1[[#This Row],[Code]]</f>
        <v>Technician/Technologist: Optometric Assistant-156FX1201X</v>
      </c>
      <c r="U905" s="16" t="str">
        <f ca="1">IFERROR(VLOOKUP(ROWS($U$1:U904),$R$2:$S$918,2,FALSE),"")</f>
        <v>Technician/Technologist: Optometric Assistant-156FX1201X</v>
      </c>
    </row>
    <row r="906" spans="1:21" ht="30.75" x14ac:dyDescent="0.3">
      <c r="A906" s="21" t="s">
        <v>313</v>
      </c>
      <c r="B906" s="21" t="str">
        <f>Table1[[#This Row],[Code]]&amp;" "&amp;Table1[[#This Row],[Portico_Specialty]]</f>
        <v>156FX1202X Technician/Technologist: Optometric Technician</v>
      </c>
      <c r="C906" s="21" t="str">
        <f>CLEAN(Table1[[#This Row],[Code]])</f>
        <v>156FX1202X</v>
      </c>
      <c r="D906" s="1" t="s">
        <v>314</v>
      </c>
      <c r="E906" s="1"/>
      <c r="F906" s="1" t="s">
        <v>2587</v>
      </c>
      <c r="G906" s="3" t="s">
        <v>2588</v>
      </c>
      <c r="H906" s="1" t="s">
        <v>2821</v>
      </c>
      <c r="I906" s="1"/>
      <c r="J906" s="1" t="s">
        <v>2821</v>
      </c>
      <c r="K906" s="1" t="s">
        <v>2704</v>
      </c>
      <c r="L906" s="1" t="s">
        <v>2821</v>
      </c>
      <c r="M906" s="1" t="s">
        <v>2821</v>
      </c>
      <c r="N906" s="1" t="s">
        <v>2821</v>
      </c>
      <c r="O906" s="1" t="s">
        <v>2704</v>
      </c>
      <c r="P906" s="9"/>
      <c r="R906" s="16">
        <f ca="1">IF(ISNUMBER(SEARCH(INDIRECT(CELL("address")),S906)),MAX($R$1:R905)+1,0)</f>
        <v>905</v>
      </c>
      <c r="S906" s="18" t="str">
        <f>Table1[[#This Row],[Portico_Specialty]]&amp;"-"&amp;Table1[[#This Row],[Code]]</f>
        <v>Technician/Technologist: Optometric Technician-156FX1202X</v>
      </c>
      <c r="U906" s="16" t="str">
        <f ca="1">IFERROR(VLOOKUP(ROWS($U$1:U905),$R$2:$S$918,2,FALSE),"")</f>
        <v>Technician/Technologist: Optometric Technician-156FX1202X</v>
      </c>
    </row>
    <row r="907" spans="1:21" x14ac:dyDescent="0.3">
      <c r="A907" s="21" t="s">
        <v>319</v>
      </c>
      <c r="B907" s="21" t="str">
        <f>Table1[[#This Row],[Code]]&amp;" "&amp;Table1[[#This Row],[Portico_Specialty]]</f>
        <v>156FX1900X Technician/Technologist: Orthoptist</v>
      </c>
      <c r="C907" s="21" t="str">
        <f>CLEAN(Table1[[#This Row],[Code]])</f>
        <v>156FX1900X</v>
      </c>
      <c r="D907" s="1" t="s">
        <v>320</v>
      </c>
      <c r="E907" s="1"/>
      <c r="F907" s="1" t="s">
        <v>2587</v>
      </c>
      <c r="G907" s="3" t="s">
        <v>2588</v>
      </c>
      <c r="H907" s="1" t="s">
        <v>2821</v>
      </c>
      <c r="I907" s="1"/>
      <c r="J907" s="1" t="s">
        <v>2821</v>
      </c>
      <c r="K907" s="1" t="s">
        <v>2704</v>
      </c>
      <c r="L907" s="1" t="s">
        <v>2821</v>
      </c>
      <c r="M907" s="1" t="s">
        <v>2821</v>
      </c>
      <c r="N907" s="1" t="s">
        <v>2821</v>
      </c>
      <c r="O907" s="1" t="s">
        <v>2704</v>
      </c>
      <c r="P907" s="9"/>
      <c r="R907" s="16">
        <f ca="1">IF(ISNUMBER(SEARCH(INDIRECT(CELL("address")),S907)),MAX($R$1:R906)+1,0)</f>
        <v>906</v>
      </c>
      <c r="S907" s="18" t="str">
        <f>Table1[[#This Row],[Portico_Specialty]]&amp;"-"&amp;Table1[[#This Row],[Code]]</f>
        <v>Technician/Technologist: Orthoptist-156FX1900X</v>
      </c>
      <c r="U907" s="16" t="str">
        <f ca="1">IFERROR(VLOOKUP(ROWS($U$1:U906),$R$2:$S$918,2,FALSE),"")</f>
        <v>Technician/Technologist: Orthoptist-156FX1900X</v>
      </c>
    </row>
    <row r="908" spans="1:21" x14ac:dyDescent="0.3">
      <c r="A908" s="21" t="s">
        <v>1809</v>
      </c>
      <c r="B908" s="21" t="str">
        <f>Table1[[#This Row],[Code]]&amp;" "&amp;Table1[[#This Row],[Portico_Specialty]]</f>
        <v>3747A0650X Technician: Attendant Care Provider</v>
      </c>
      <c r="C908" s="21" t="str">
        <f>CLEAN(Table1[[#This Row],[Code]])</f>
        <v>3747A0650X</v>
      </c>
      <c r="D908" s="1" t="s">
        <v>1810</v>
      </c>
      <c r="E908" s="1"/>
      <c r="F908" s="1" t="s">
        <v>2587</v>
      </c>
      <c r="G908" s="3" t="s">
        <v>2588</v>
      </c>
      <c r="H908" s="1" t="s">
        <v>2591</v>
      </c>
      <c r="I908" s="1"/>
      <c r="J908" s="1" t="s">
        <v>2590</v>
      </c>
      <c r="K908" s="1" t="s">
        <v>2682</v>
      </c>
      <c r="L908" s="1" t="s">
        <v>2621</v>
      </c>
      <c r="M908" s="1"/>
      <c r="N908" s="1"/>
      <c r="O908" s="1" t="s">
        <v>2682</v>
      </c>
      <c r="P908" s="9"/>
      <c r="R908" s="16">
        <f ca="1">IF(ISNUMBER(SEARCH(INDIRECT(CELL("address")),S908)),MAX($R$1:R907)+1,0)</f>
        <v>907</v>
      </c>
      <c r="S908" s="18" t="str">
        <f>Table1[[#This Row],[Portico_Specialty]]&amp;"-"&amp;Table1[[#This Row],[Code]]</f>
        <v>Technician: Attendant Care Provider-3747A0650X</v>
      </c>
      <c r="U908" s="16" t="str">
        <f ca="1">IFERROR(VLOOKUP(ROWS($U$1:U907),$R$2:$S$918,2,FALSE),"")</f>
        <v>Technician: Attendant Care Provider-3747A0650X</v>
      </c>
    </row>
    <row r="909" spans="1:21" x14ac:dyDescent="0.3">
      <c r="A909" s="21" t="s">
        <v>1811</v>
      </c>
      <c r="B909" s="21" t="str">
        <f>Table1[[#This Row],[Code]]&amp;" "&amp;Table1[[#This Row],[Portico_Specialty]]</f>
        <v>3747P1801X Technician: Personal Care Attendant</v>
      </c>
      <c r="C909" s="21" t="str">
        <f>CLEAN(Table1[[#This Row],[Code]])</f>
        <v>3747P1801X</v>
      </c>
      <c r="D909" s="1" t="s">
        <v>1812</v>
      </c>
      <c r="E909" s="1"/>
      <c r="F909" s="1" t="s">
        <v>2587</v>
      </c>
      <c r="G909" s="3" t="s">
        <v>2588</v>
      </c>
      <c r="H909" s="1" t="s">
        <v>2591</v>
      </c>
      <c r="I909" s="1"/>
      <c r="J909" s="1" t="s">
        <v>2590</v>
      </c>
      <c r="K909" s="1" t="s">
        <v>2591</v>
      </c>
      <c r="L909" s="1"/>
      <c r="M909" s="1"/>
      <c r="N909" s="1" t="s">
        <v>2590</v>
      </c>
      <c r="O909" s="1" t="s">
        <v>2591</v>
      </c>
      <c r="P909" s="9"/>
      <c r="R909" s="16">
        <f ca="1">IF(ISNUMBER(SEARCH(INDIRECT(CELL("address")),S909)),MAX($R$1:R908)+1,0)</f>
        <v>908</v>
      </c>
      <c r="S909" s="18" t="str">
        <f>Table1[[#This Row],[Portico_Specialty]]&amp;"-"&amp;Table1[[#This Row],[Code]]</f>
        <v>Technician: Personal Care Attendant-3747P1801X</v>
      </c>
      <c r="U909" s="16" t="str">
        <f ca="1">IFERROR(VLOOKUP(ROWS($U$1:U908),$R$2:$S$918,2,FALSE),"")</f>
        <v>Technician: Personal Care Attendant-3747P1801X</v>
      </c>
    </row>
    <row r="910" spans="1:21" ht="30.75" x14ac:dyDescent="0.3">
      <c r="A910" s="21" t="s">
        <v>985</v>
      </c>
      <c r="B910" s="21" t="str">
        <f>Table1[[#This Row],[Code]]&amp;" "&amp;Table1[[#This Row],[Portico_Specialty]]</f>
        <v>208G00000X Thoracic Surgery (Cardiothoracic Vascular Surgery)</v>
      </c>
      <c r="C910" s="21" t="str">
        <f>CLEAN(Table1[[#This Row],[Code]])</f>
        <v>208G00000X</v>
      </c>
      <c r="D910" s="1" t="s">
        <v>986</v>
      </c>
      <c r="E910" s="1"/>
      <c r="F910" s="1" t="s">
        <v>2587</v>
      </c>
      <c r="G910" s="4" t="s">
        <v>2593</v>
      </c>
      <c r="H910" s="1" t="s">
        <v>2881</v>
      </c>
      <c r="I910" s="1"/>
      <c r="J910" s="1" t="s">
        <v>2881</v>
      </c>
      <c r="K910" s="1" t="s">
        <v>2881</v>
      </c>
      <c r="L910" s="1" t="s">
        <v>2881</v>
      </c>
      <c r="M910" s="1" t="s">
        <v>2881</v>
      </c>
      <c r="N910" s="1" t="s">
        <v>2881</v>
      </c>
      <c r="O910" s="1" t="s">
        <v>2881</v>
      </c>
      <c r="P910" s="9"/>
      <c r="R910" s="16">
        <f ca="1">IF(ISNUMBER(SEARCH(INDIRECT(CELL("address")),S910)),MAX($R$1:R909)+1,0)</f>
        <v>909</v>
      </c>
      <c r="S910" s="18" t="str">
        <f>Table1[[#This Row],[Portico_Specialty]]&amp;"-"&amp;Table1[[#This Row],[Code]]</f>
        <v>Thoracic Surgery (Cardiothoracic Vascular Surgery)-208G00000X</v>
      </c>
      <c r="U910" s="16" t="str">
        <f ca="1">IFERROR(VLOOKUP(ROWS($U$1:U909),$R$2:$S$918,2,FALSE),"")</f>
        <v>Thoracic Surgery (Cardiothoracic Vascular Surgery)-208G00000X</v>
      </c>
    </row>
    <row r="911" spans="1:21" x14ac:dyDescent="0.3">
      <c r="A911" s="21" t="s">
        <v>1681</v>
      </c>
      <c r="B911" s="21" t="str">
        <f>Table1[[#This Row],[Code]]&amp;" "&amp;Table1[[#This Row],[Portico_Specialty]]</f>
        <v>347D00000X Train</v>
      </c>
      <c r="C911" s="21" t="str">
        <f>CLEAN(Table1[[#This Row],[Code]])</f>
        <v>347D00000X</v>
      </c>
      <c r="D911" s="1" t="s">
        <v>1682</v>
      </c>
      <c r="E911" s="1"/>
      <c r="F911" s="1" t="s">
        <v>2587</v>
      </c>
      <c r="G911" s="3" t="s">
        <v>2588</v>
      </c>
      <c r="H911" s="1" t="s">
        <v>2595</v>
      </c>
      <c r="I911" s="1"/>
      <c r="J911" s="1" t="s">
        <v>2595</v>
      </c>
      <c r="K911" s="1" t="s">
        <v>2596</v>
      </c>
      <c r="L911" s="1" t="s">
        <v>2595</v>
      </c>
      <c r="M911" s="1" t="s">
        <v>2595</v>
      </c>
      <c r="N911" s="1"/>
      <c r="O911" s="1" t="s">
        <v>2596</v>
      </c>
      <c r="P911" s="9"/>
      <c r="R911" s="16">
        <f ca="1">IF(ISNUMBER(SEARCH(INDIRECT(CELL("address")),S911)),MAX($R$1:R910)+1,0)</f>
        <v>910</v>
      </c>
      <c r="S911" s="18" t="str">
        <f>Table1[[#This Row],[Portico_Specialty]]&amp;"-"&amp;Table1[[#This Row],[Code]]</f>
        <v>Train-347D00000X</v>
      </c>
      <c r="U911" s="16" t="str">
        <f ca="1">IFERROR(VLOOKUP(ROWS($U$1:U910),$R$2:$S$918,2,FALSE),"")</f>
        <v>Train-347D00000X</v>
      </c>
    </row>
    <row r="912" spans="1:21" x14ac:dyDescent="0.3">
      <c r="A912" s="21" t="s">
        <v>553</v>
      </c>
      <c r="B912" s="21" t="str">
        <f>Table1[[#This Row],[Code]]&amp;" "&amp;Table1[[#This Row],[Portico_Specialty]]</f>
        <v>204F00000X Transplant Surgery</v>
      </c>
      <c r="C912" s="21" t="str">
        <f>CLEAN(Table1[[#This Row],[Code]])</f>
        <v>204F00000X</v>
      </c>
      <c r="D912" s="1" t="s">
        <v>554</v>
      </c>
      <c r="E912" s="1"/>
      <c r="F912" s="1" t="s">
        <v>2587</v>
      </c>
      <c r="G912" s="4" t="s">
        <v>2593</v>
      </c>
      <c r="H912" s="1" t="s">
        <v>2875</v>
      </c>
      <c r="I912" s="1"/>
      <c r="J912" s="1" t="s">
        <v>2875</v>
      </c>
      <c r="K912" s="1" t="s">
        <v>2875</v>
      </c>
      <c r="L912" s="1" t="s">
        <v>2875</v>
      </c>
      <c r="M912" s="1" t="s">
        <v>2875</v>
      </c>
      <c r="N912" s="1" t="s">
        <v>2875</v>
      </c>
      <c r="O912" s="1" t="s">
        <v>2875</v>
      </c>
      <c r="P912" s="9"/>
      <c r="R912" s="16">
        <f ca="1">IF(ISNUMBER(SEARCH(INDIRECT(CELL("address")),S912)),MAX($R$1:R911)+1,0)</f>
        <v>911</v>
      </c>
      <c r="S912" s="18" t="str">
        <f>Table1[[#This Row],[Portico_Specialty]]&amp;"-"&amp;Table1[[#This Row],[Code]]</f>
        <v>Transplant Surgery-204F00000X</v>
      </c>
      <c r="U912" s="16" t="str">
        <f ca="1">IFERROR(VLOOKUP(ROWS($U$1:U911),$R$2:$S$918,2,FALSE),"")</f>
        <v>Transplant Surgery-204F00000X</v>
      </c>
    </row>
    <row r="913" spans="1:21" x14ac:dyDescent="0.3">
      <c r="A913" s="21" t="s">
        <v>1683</v>
      </c>
      <c r="B913" s="21" t="str">
        <f>Table1[[#This Row],[Code]]&amp;" "&amp;Table1[[#This Row],[Portico_Specialty]]</f>
        <v>347E00000X Transportation Broker</v>
      </c>
      <c r="C913" s="21" t="str">
        <f>CLEAN(Table1[[#This Row],[Code]])</f>
        <v>347E00000X</v>
      </c>
      <c r="D913" s="1" t="s">
        <v>1684</v>
      </c>
      <c r="E913" s="1"/>
      <c r="F913" s="1" t="s">
        <v>2587</v>
      </c>
      <c r="G913" s="3" t="s">
        <v>2588</v>
      </c>
      <c r="H913" s="1" t="s">
        <v>2595</v>
      </c>
      <c r="I913" s="1"/>
      <c r="J913" s="1" t="s">
        <v>2595</v>
      </c>
      <c r="K913" s="1" t="s">
        <v>2596</v>
      </c>
      <c r="L913" s="1" t="s">
        <v>2595</v>
      </c>
      <c r="M913" s="1" t="s">
        <v>2595</v>
      </c>
      <c r="N913" s="1"/>
      <c r="O913" s="1" t="s">
        <v>2596</v>
      </c>
      <c r="P913" s="9"/>
      <c r="R913" s="16">
        <f ca="1">IF(ISNUMBER(SEARCH(INDIRECT(CELL("address")),S913)),MAX($R$1:R912)+1,0)</f>
        <v>912</v>
      </c>
      <c r="S913" s="18" t="str">
        <f>Table1[[#This Row],[Portico_Specialty]]&amp;"-"&amp;Table1[[#This Row],[Code]]</f>
        <v>Transportation Broker-347E00000X</v>
      </c>
      <c r="U913" s="16" t="str">
        <f ca="1">IFERROR(VLOOKUP(ROWS($U$1:U912),$R$2:$S$918,2,FALSE),"")</f>
        <v>Transportation Broker-347E00000X</v>
      </c>
    </row>
    <row r="914" spans="1:21" x14ac:dyDescent="0.3">
      <c r="A914" s="21" t="s">
        <v>975</v>
      </c>
      <c r="B914" s="21" t="str">
        <f>Table1[[#This Row],[Code]]&amp;" "&amp;Table1[[#This Row],[Portico_Specialty]]</f>
        <v>208800000X Urology</v>
      </c>
      <c r="C914" s="21" t="str">
        <f>CLEAN(Table1[[#This Row],[Code]])</f>
        <v>208800000X</v>
      </c>
      <c r="D914" s="1" t="s">
        <v>976</v>
      </c>
      <c r="E914" s="1"/>
      <c r="F914" s="1" t="s">
        <v>2587</v>
      </c>
      <c r="G914" s="4" t="s">
        <v>2593</v>
      </c>
      <c r="H914" s="1" t="s">
        <v>2711</v>
      </c>
      <c r="I914" s="1"/>
      <c r="J914" s="1" t="s">
        <v>2711</v>
      </c>
      <c r="K914" s="1" t="s">
        <v>2711</v>
      </c>
      <c r="L914" s="1" t="s">
        <v>2711</v>
      </c>
      <c r="M914" s="1" t="s">
        <v>2711</v>
      </c>
      <c r="N914" s="1" t="s">
        <v>2711</v>
      </c>
      <c r="O914" s="1" t="s">
        <v>2711</v>
      </c>
      <c r="P914" s="9"/>
      <c r="R914" s="16">
        <f ca="1">IF(ISNUMBER(SEARCH(INDIRECT(CELL("address")),S914)),MAX($R$1:R913)+1,0)</f>
        <v>913</v>
      </c>
      <c r="S914" s="18" t="str">
        <f>Table1[[#This Row],[Portico_Specialty]]&amp;"-"&amp;Table1[[#This Row],[Code]]</f>
        <v>Urology-208800000X</v>
      </c>
      <c r="U914" s="16" t="str">
        <f ca="1">IFERROR(VLOOKUP(ROWS($U$1:U913),$R$2:$S$918,2,FALSE),"")</f>
        <v>Urology-208800000X</v>
      </c>
    </row>
    <row r="915" spans="1:21" x14ac:dyDescent="0.3">
      <c r="A915" s="21" t="s">
        <v>979</v>
      </c>
      <c r="B915" s="21" t="str">
        <f>Table1[[#This Row],[Code]]&amp;" "&amp;Table1[[#This Row],[Portico_Specialty]]</f>
        <v>2088P0231X Urology: Pediatric Urology</v>
      </c>
      <c r="C915" s="21" t="str">
        <f>CLEAN(Table1[[#This Row],[Code]])</f>
        <v>2088P0231X</v>
      </c>
      <c r="D915" s="1" t="s">
        <v>980</v>
      </c>
      <c r="E915" s="1"/>
      <c r="F915" s="1" t="s">
        <v>2587</v>
      </c>
      <c r="G915" s="4" t="s">
        <v>2593</v>
      </c>
      <c r="H915" s="1" t="s">
        <v>2711</v>
      </c>
      <c r="I915" s="1"/>
      <c r="J915" s="1" t="s">
        <v>2711</v>
      </c>
      <c r="K915" s="1" t="s">
        <v>2711</v>
      </c>
      <c r="L915" s="1" t="s">
        <v>2711</v>
      </c>
      <c r="M915" s="1" t="s">
        <v>2711</v>
      </c>
      <c r="N915" s="1" t="s">
        <v>2711</v>
      </c>
      <c r="O915" s="1" t="s">
        <v>2711</v>
      </c>
      <c r="P915" s="9"/>
      <c r="R915" s="16">
        <f ca="1">IF(ISNUMBER(SEARCH(INDIRECT(CELL("address")),S915)),MAX($R$1:R914)+1,0)</f>
        <v>914</v>
      </c>
      <c r="S915" s="18" t="str">
        <f>Table1[[#This Row],[Portico_Specialty]]&amp;"-"&amp;Table1[[#This Row],[Code]]</f>
        <v>Urology: Pediatric Urology-2088P0231X</v>
      </c>
      <c r="U915" s="16" t="str">
        <f ca="1">IFERROR(VLOOKUP(ROWS($U$1:U914),$R$2:$S$918,2,FALSE),"")</f>
        <v>Urology: Pediatric Urology-2088P0231X</v>
      </c>
    </row>
    <row r="916" spans="1:21" x14ac:dyDescent="0.3">
      <c r="A916" s="21" t="s">
        <v>491</v>
      </c>
      <c r="B916" s="21" t="str">
        <f>Table1[[#This Row],[Code]]&amp;" "&amp;Table1[[#This Row],[Portico_Specialty]]</f>
        <v>174M00000X Veterinarian</v>
      </c>
      <c r="C916" s="21" t="str">
        <f>CLEAN(Table1[[#This Row],[Code]])</f>
        <v>174M00000X</v>
      </c>
      <c r="D916" s="1" t="s">
        <v>492</v>
      </c>
      <c r="E916" s="1"/>
      <c r="F916" s="1" t="s">
        <v>2587</v>
      </c>
      <c r="G916" s="3" t="s">
        <v>2588</v>
      </c>
      <c r="H916" s="1"/>
      <c r="I916" s="1"/>
      <c r="J916" s="1" t="s">
        <v>2590</v>
      </c>
      <c r="K916" s="1" t="s">
        <v>2590</v>
      </c>
      <c r="L916" s="1"/>
      <c r="M916" s="1"/>
      <c r="N916" s="1"/>
      <c r="O916" s="1" t="s">
        <v>2590</v>
      </c>
      <c r="P916" s="9"/>
      <c r="R916" s="16">
        <f ca="1">IF(ISNUMBER(SEARCH(INDIRECT(CELL("address")),S916)),MAX($R$1:R915)+1,0)</f>
        <v>915</v>
      </c>
      <c r="S916" s="18" t="str">
        <f>Table1[[#This Row],[Portico_Specialty]]&amp;"-"&amp;Table1[[#This Row],[Code]]</f>
        <v>Veterinarian-174M00000X</v>
      </c>
      <c r="U916" s="16" t="str">
        <f ca="1">IFERROR(VLOOKUP(ROWS($U$1:U915),$R$2:$S$918,2,FALSE),"")</f>
        <v>Veterinarian-174M00000X</v>
      </c>
    </row>
    <row r="917" spans="1:21" x14ac:dyDescent="0.3">
      <c r="A917" s="21" t="s">
        <v>493</v>
      </c>
      <c r="B917" s="21" t="str">
        <f>Table1[[#This Row],[Code]]&amp;" "&amp;Table1[[#This Row],[Portico_Specialty]]</f>
        <v>174MM1900X Veterinarian: Medical Research</v>
      </c>
      <c r="C917" s="21" t="str">
        <f>CLEAN(Table1[[#This Row],[Code]])</f>
        <v>174MM1900X</v>
      </c>
      <c r="D917" s="1" t="s">
        <v>494</v>
      </c>
      <c r="E917" s="1"/>
      <c r="F917" s="1" t="s">
        <v>2587</v>
      </c>
      <c r="G917" s="3" t="s">
        <v>2588</v>
      </c>
      <c r="H917" s="1"/>
      <c r="I917" s="1"/>
      <c r="J917" s="1" t="s">
        <v>2590</v>
      </c>
      <c r="K917" s="1" t="s">
        <v>2590</v>
      </c>
      <c r="L917" s="1"/>
      <c r="M917" s="1"/>
      <c r="N917" s="1"/>
      <c r="O917" s="1" t="s">
        <v>2590</v>
      </c>
      <c r="P917" s="9"/>
      <c r="R917" s="16">
        <f ca="1">IF(ISNUMBER(SEARCH(INDIRECT(CELL("address")),S917)),MAX($R$1:R916)+1,0)</f>
        <v>916</v>
      </c>
      <c r="S917" s="18" t="str">
        <f>Table1[[#This Row],[Portico_Specialty]]&amp;"-"&amp;Table1[[#This Row],[Code]]</f>
        <v>Veterinarian: Medical Research-174MM1900X</v>
      </c>
      <c r="U917" s="16" t="str">
        <f ca="1">IFERROR(VLOOKUP(ROWS($U$1:U916),$R$2:$S$918,2,FALSE),"")</f>
        <v>Veterinarian: Medical Research-174MM1900X</v>
      </c>
    </row>
    <row r="918" spans="1:21" x14ac:dyDescent="0.3">
      <c r="A918" s="21" t="s">
        <v>1349</v>
      </c>
      <c r="B918" s="21" t="str">
        <f>Table1[[#This Row],[Code]]&amp;" "&amp;Table1[[#This Row],[Portico_Specialty]]</f>
        <v>251V00000X Voluntary or Charitable</v>
      </c>
      <c r="C918" s="21" t="str">
        <f>CLEAN(Table1[[#This Row],[Code]])</f>
        <v>251V00000X</v>
      </c>
      <c r="D918" s="1" t="s">
        <v>1350</v>
      </c>
      <c r="E918" s="1"/>
      <c r="F918" s="1" t="s">
        <v>2587</v>
      </c>
      <c r="G918" s="4" t="s">
        <v>2593</v>
      </c>
      <c r="H918" s="1" t="s">
        <v>2882</v>
      </c>
      <c r="I918" s="1"/>
      <c r="J918" s="1" t="s">
        <v>2882</v>
      </c>
      <c r="K918" s="1" t="s">
        <v>2621</v>
      </c>
      <c r="L918" s="1" t="s">
        <v>2882</v>
      </c>
      <c r="M918" s="1" t="s">
        <v>2882</v>
      </c>
      <c r="N918" s="1" t="s">
        <v>2882</v>
      </c>
      <c r="O918" s="1" t="s">
        <v>2621</v>
      </c>
      <c r="P918" s="9"/>
      <c r="R918" s="16">
        <f ca="1">IF(ISNUMBER(SEARCH(INDIRECT(CELL("address")),S918)),MAX($R$1:R917)+1,0)</f>
        <v>917</v>
      </c>
      <c r="S918" s="18" t="str">
        <f>Table1[[#This Row],[Portico_Specialty]]&amp;"-"&amp;Table1[[#This Row],[Code]]</f>
        <v>Voluntary or Charitable-251V00000X</v>
      </c>
      <c r="U918" s="16" t="str">
        <f ca="1">IFERROR(VLOOKUP(ROWS($U$1:U917),$R$2:$S$918,2,FALSE),"")</f>
        <v>Voluntary or Charitable-251V00000X</v>
      </c>
    </row>
    <row r="919" spans="1:21" x14ac:dyDescent="0.3">
      <c r="F919" s="5"/>
    </row>
  </sheetData>
  <phoneticPr fontId="36"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03B7-481E-4942-AB9B-084A80748D00}">
  <sheetPr codeName="Sheet4"/>
  <dimension ref="A1:I294"/>
  <sheetViews>
    <sheetView workbookViewId="0">
      <selection activeCell="E54" sqref="E54"/>
    </sheetView>
  </sheetViews>
  <sheetFormatPr defaultRowHeight="15" x14ac:dyDescent="0.25"/>
  <cols>
    <col min="1" max="1" width="12.7109375" bestFit="1" customWidth="1"/>
    <col min="2" max="3" width="17.42578125" bestFit="1" customWidth="1"/>
    <col min="4" max="4" width="24" bestFit="1" customWidth="1"/>
    <col min="6" max="6" width="18.140625" bestFit="1" customWidth="1"/>
  </cols>
  <sheetData>
    <row r="1" spans="1:9" x14ac:dyDescent="0.25">
      <c r="A1" t="s">
        <v>2883</v>
      </c>
      <c r="F1" s="23" t="s">
        <v>19</v>
      </c>
      <c r="G1" s="23" t="s">
        <v>19</v>
      </c>
      <c r="I1" s="23"/>
    </row>
    <row r="2" spans="1:9" x14ac:dyDescent="0.25">
      <c r="A2" t="s">
        <v>2593</v>
      </c>
      <c r="B2" t="s">
        <v>2884</v>
      </c>
      <c r="C2" t="s">
        <v>2885</v>
      </c>
      <c r="D2" t="s">
        <v>2886</v>
      </c>
      <c r="E2" t="s">
        <v>35</v>
      </c>
      <c r="F2" t="s">
        <v>2887</v>
      </c>
      <c r="G2" t="s">
        <v>2588</v>
      </c>
      <c r="H2" t="s">
        <v>2888</v>
      </c>
      <c r="I2" t="s">
        <v>2889</v>
      </c>
    </row>
    <row r="3" spans="1:9" x14ac:dyDescent="0.25">
      <c r="A3" t="s">
        <v>2588</v>
      </c>
      <c r="B3" t="s">
        <v>2890</v>
      </c>
      <c r="C3" t="s">
        <v>2891</v>
      </c>
      <c r="D3" t="s">
        <v>2892</v>
      </c>
      <c r="E3" t="s">
        <v>38</v>
      </c>
      <c r="F3" t="s">
        <v>2893</v>
      </c>
      <c r="G3" t="s">
        <v>2593</v>
      </c>
      <c r="H3" t="s">
        <v>2894</v>
      </c>
      <c r="I3" t="s">
        <v>2895</v>
      </c>
    </row>
    <row r="4" spans="1:9" x14ac:dyDescent="0.25">
      <c r="A4" t="s">
        <v>2896</v>
      </c>
      <c r="B4" t="s">
        <v>2897</v>
      </c>
      <c r="C4" t="s">
        <v>2898</v>
      </c>
      <c r="D4" t="s">
        <v>2899</v>
      </c>
      <c r="E4" t="s">
        <v>41</v>
      </c>
      <c r="G4" t="s">
        <v>2900</v>
      </c>
      <c r="H4" t="s">
        <v>2901</v>
      </c>
    </row>
    <row r="5" spans="1:9" x14ac:dyDescent="0.25">
      <c r="A5" t="s">
        <v>2900</v>
      </c>
      <c r="B5" t="s">
        <v>2902</v>
      </c>
      <c r="C5" t="s">
        <v>2903</v>
      </c>
      <c r="D5" t="s">
        <v>2904</v>
      </c>
      <c r="E5" t="s">
        <v>44</v>
      </c>
      <c r="H5" t="s">
        <v>2905</v>
      </c>
    </row>
    <row r="6" spans="1:9" x14ac:dyDescent="0.25">
      <c r="B6" t="s">
        <v>2906</v>
      </c>
      <c r="C6" t="s">
        <v>2907</v>
      </c>
      <c r="D6" t="s">
        <v>2908</v>
      </c>
      <c r="E6" t="s">
        <v>47</v>
      </c>
      <c r="H6" t="s">
        <v>2909</v>
      </c>
    </row>
    <row r="7" spans="1:9" x14ac:dyDescent="0.25">
      <c r="B7" t="s">
        <v>2903</v>
      </c>
      <c r="D7" t="s">
        <v>2910</v>
      </c>
      <c r="E7" t="s">
        <v>2911</v>
      </c>
      <c r="H7" t="s">
        <v>2912</v>
      </c>
    </row>
    <row r="8" spans="1:9" x14ac:dyDescent="0.25">
      <c r="B8" t="s">
        <v>2907</v>
      </c>
      <c r="D8" t="s">
        <v>2913</v>
      </c>
      <c r="E8" t="s">
        <v>2914</v>
      </c>
      <c r="H8" t="s">
        <v>2915</v>
      </c>
    </row>
    <row r="9" spans="1:9" x14ac:dyDescent="0.25">
      <c r="D9" t="s">
        <v>2916</v>
      </c>
      <c r="E9" t="s">
        <v>2917</v>
      </c>
      <c r="H9" t="s">
        <v>2918</v>
      </c>
    </row>
    <row r="10" spans="1:9" x14ac:dyDescent="0.25">
      <c r="D10" t="s">
        <v>2919</v>
      </c>
      <c r="E10" t="s">
        <v>2920</v>
      </c>
      <c r="H10" t="s">
        <v>2921</v>
      </c>
    </row>
    <row r="11" spans="1:9" x14ac:dyDescent="0.25">
      <c r="D11" t="s">
        <v>2922</v>
      </c>
      <c r="E11" t="s">
        <v>2923</v>
      </c>
      <c r="H11" t="s">
        <v>2924</v>
      </c>
    </row>
    <row r="12" spans="1:9" x14ac:dyDescent="0.25">
      <c r="D12" t="s">
        <v>2925</v>
      </c>
      <c r="E12" t="s">
        <v>2926</v>
      </c>
      <c r="H12" t="s">
        <v>2927</v>
      </c>
    </row>
    <row r="13" spans="1:9" x14ac:dyDescent="0.25">
      <c r="D13" t="s">
        <v>2928</v>
      </c>
      <c r="E13" t="s">
        <v>2929</v>
      </c>
      <c r="H13" t="s">
        <v>2930</v>
      </c>
    </row>
    <row r="14" spans="1:9" x14ac:dyDescent="0.25">
      <c r="D14" t="s">
        <v>2931</v>
      </c>
      <c r="E14" t="s">
        <v>2932</v>
      </c>
      <c r="H14" t="s">
        <v>2933</v>
      </c>
    </row>
    <row r="15" spans="1:9" x14ac:dyDescent="0.25">
      <c r="D15" t="s">
        <v>2934</v>
      </c>
      <c r="E15" t="s">
        <v>2588</v>
      </c>
      <c r="H15" t="s">
        <v>2935</v>
      </c>
    </row>
    <row r="16" spans="1:9" x14ac:dyDescent="0.25">
      <c r="D16" t="s">
        <v>2936</v>
      </c>
      <c r="E16" t="s">
        <v>2937</v>
      </c>
      <c r="H16" t="s">
        <v>2938</v>
      </c>
    </row>
    <row r="17" spans="4:8" x14ac:dyDescent="0.25">
      <c r="D17" t="s">
        <v>2939</v>
      </c>
      <c r="E17" t="s">
        <v>2940</v>
      </c>
      <c r="H17" t="s">
        <v>2941</v>
      </c>
    </row>
    <row r="18" spans="4:8" x14ac:dyDescent="0.25">
      <c r="D18" t="s">
        <v>2942</v>
      </c>
      <c r="E18" t="s">
        <v>2943</v>
      </c>
      <c r="H18" t="s">
        <v>2944</v>
      </c>
    </row>
    <row r="19" spans="4:8" x14ac:dyDescent="0.25">
      <c r="D19" t="s">
        <v>2945</v>
      </c>
      <c r="E19" t="s">
        <v>2946</v>
      </c>
      <c r="H19" t="s">
        <v>2947</v>
      </c>
    </row>
    <row r="20" spans="4:8" x14ac:dyDescent="0.25">
      <c r="D20" t="s">
        <v>2948</v>
      </c>
      <c r="E20" t="s">
        <v>2949</v>
      </c>
      <c r="H20" t="s">
        <v>2950</v>
      </c>
    </row>
    <row r="21" spans="4:8" x14ac:dyDescent="0.25">
      <c r="D21" t="s">
        <v>2951</v>
      </c>
      <c r="E21" t="s">
        <v>2952</v>
      </c>
      <c r="H21" t="s">
        <v>2953</v>
      </c>
    </row>
    <row r="22" spans="4:8" x14ac:dyDescent="0.25">
      <c r="D22" t="s">
        <v>2954</v>
      </c>
      <c r="E22" t="s">
        <v>2955</v>
      </c>
      <c r="H22" t="s">
        <v>2956</v>
      </c>
    </row>
    <row r="23" spans="4:8" x14ac:dyDescent="0.25">
      <c r="D23" t="s">
        <v>2957</v>
      </c>
      <c r="E23" t="s">
        <v>2958</v>
      </c>
      <c r="H23" t="s">
        <v>2959</v>
      </c>
    </row>
    <row r="24" spans="4:8" x14ac:dyDescent="0.25">
      <c r="D24" t="s">
        <v>2960</v>
      </c>
      <c r="E24" t="s">
        <v>2961</v>
      </c>
      <c r="H24" t="s">
        <v>2962</v>
      </c>
    </row>
    <row r="25" spans="4:8" x14ac:dyDescent="0.25">
      <c r="D25" t="s">
        <v>2963</v>
      </c>
      <c r="E25" t="s">
        <v>2593</v>
      </c>
      <c r="H25" t="s">
        <v>2964</v>
      </c>
    </row>
    <row r="26" spans="4:8" x14ac:dyDescent="0.25">
      <c r="D26" t="s">
        <v>2965</v>
      </c>
      <c r="E26" t="s">
        <v>2593</v>
      </c>
      <c r="H26" t="s">
        <v>2966</v>
      </c>
    </row>
    <row r="27" spans="4:8" x14ac:dyDescent="0.25">
      <c r="D27" t="s">
        <v>2967</v>
      </c>
      <c r="E27" t="s">
        <v>2968</v>
      </c>
      <c r="H27" t="s">
        <v>2969</v>
      </c>
    </row>
    <row r="28" spans="4:8" x14ac:dyDescent="0.25">
      <c r="D28" t="s">
        <v>2970</v>
      </c>
      <c r="E28" t="s">
        <v>2971</v>
      </c>
      <c r="H28" t="s">
        <v>2972</v>
      </c>
    </row>
    <row r="29" spans="4:8" x14ac:dyDescent="0.25">
      <c r="D29" t="s">
        <v>2973</v>
      </c>
      <c r="E29" t="s">
        <v>2974</v>
      </c>
      <c r="H29" t="s">
        <v>2975</v>
      </c>
    </row>
    <row r="30" spans="4:8" x14ac:dyDescent="0.25">
      <c r="D30" t="s">
        <v>2976</v>
      </c>
      <c r="E30" t="s">
        <v>2589</v>
      </c>
      <c r="H30" t="s">
        <v>2977</v>
      </c>
    </row>
    <row r="31" spans="4:8" x14ac:dyDescent="0.25">
      <c r="D31" t="s">
        <v>2978</v>
      </c>
      <c r="E31" t="s">
        <v>2979</v>
      </c>
      <c r="H31" t="s">
        <v>2980</v>
      </c>
    </row>
    <row r="32" spans="4:8" x14ac:dyDescent="0.25">
      <c r="D32" t="s">
        <v>2981</v>
      </c>
      <c r="E32" t="s">
        <v>2982</v>
      </c>
      <c r="H32" t="s">
        <v>2983</v>
      </c>
    </row>
    <row r="33" spans="4:8" x14ac:dyDescent="0.25">
      <c r="D33" t="s">
        <v>2984</v>
      </c>
      <c r="E33" t="s">
        <v>2985</v>
      </c>
      <c r="H33" t="s">
        <v>2986</v>
      </c>
    </row>
    <row r="34" spans="4:8" x14ac:dyDescent="0.25">
      <c r="D34" t="s">
        <v>2987</v>
      </c>
      <c r="E34" t="s">
        <v>2988</v>
      </c>
      <c r="H34" t="s">
        <v>2989</v>
      </c>
    </row>
    <row r="35" spans="4:8" x14ac:dyDescent="0.25">
      <c r="D35" t="s">
        <v>2990</v>
      </c>
      <c r="E35" t="s">
        <v>2991</v>
      </c>
      <c r="H35" t="s">
        <v>2992</v>
      </c>
    </row>
    <row r="36" spans="4:8" x14ac:dyDescent="0.25">
      <c r="D36" t="s">
        <v>2993</v>
      </c>
      <c r="E36" t="s">
        <v>2994</v>
      </c>
      <c r="H36" t="s">
        <v>2995</v>
      </c>
    </row>
    <row r="37" spans="4:8" x14ac:dyDescent="0.25">
      <c r="D37" t="s">
        <v>2996</v>
      </c>
      <c r="E37" t="s">
        <v>2997</v>
      </c>
      <c r="H37" t="s">
        <v>2998</v>
      </c>
    </row>
    <row r="38" spans="4:8" x14ac:dyDescent="0.25">
      <c r="D38" t="s">
        <v>2999</v>
      </c>
      <c r="E38" t="s">
        <v>3000</v>
      </c>
      <c r="H38" t="s">
        <v>3001</v>
      </c>
    </row>
    <row r="39" spans="4:8" x14ac:dyDescent="0.25">
      <c r="D39" t="s">
        <v>3002</v>
      </c>
      <c r="E39" t="s">
        <v>3003</v>
      </c>
      <c r="H39" t="s">
        <v>3004</v>
      </c>
    </row>
    <row r="40" spans="4:8" x14ac:dyDescent="0.25">
      <c r="D40" t="s">
        <v>3005</v>
      </c>
      <c r="E40" t="s">
        <v>3006</v>
      </c>
      <c r="H40" t="s">
        <v>3007</v>
      </c>
    </row>
    <row r="41" spans="4:8" x14ac:dyDescent="0.25">
      <c r="D41" t="s">
        <v>3008</v>
      </c>
      <c r="E41" t="s">
        <v>3009</v>
      </c>
      <c r="H41" t="s">
        <v>3010</v>
      </c>
    </row>
    <row r="42" spans="4:8" x14ac:dyDescent="0.25">
      <c r="D42" t="s">
        <v>3011</v>
      </c>
      <c r="E42" t="s">
        <v>3012</v>
      </c>
      <c r="H42" t="s">
        <v>3013</v>
      </c>
    </row>
    <row r="43" spans="4:8" x14ac:dyDescent="0.25">
      <c r="D43" t="s">
        <v>3014</v>
      </c>
      <c r="E43" t="s">
        <v>3015</v>
      </c>
      <c r="H43" t="s">
        <v>3016</v>
      </c>
    </row>
    <row r="44" spans="4:8" x14ac:dyDescent="0.25">
      <c r="D44" t="s">
        <v>3017</v>
      </c>
      <c r="E44" t="s">
        <v>3018</v>
      </c>
      <c r="H44" t="s">
        <v>3019</v>
      </c>
    </row>
    <row r="45" spans="4:8" x14ac:dyDescent="0.25">
      <c r="D45" t="s">
        <v>3020</v>
      </c>
      <c r="E45" t="s">
        <v>3021</v>
      </c>
      <c r="H45" t="s">
        <v>3022</v>
      </c>
    </row>
    <row r="46" spans="4:8" x14ac:dyDescent="0.25">
      <c r="D46" t="s">
        <v>3023</v>
      </c>
      <c r="E46" t="s">
        <v>3024</v>
      </c>
      <c r="H46" t="s">
        <v>3025</v>
      </c>
    </row>
    <row r="47" spans="4:8" x14ac:dyDescent="0.25">
      <c r="D47" t="s">
        <v>3026</v>
      </c>
      <c r="E47" t="s">
        <v>3027</v>
      </c>
      <c r="H47" t="s">
        <v>3028</v>
      </c>
    </row>
    <row r="48" spans="4:8" x14ac:dyDescent="0.25">
      <c r="D48" t="s">
        <v>3029</v>
      </c>
      <c r="E48" t="s">
        <v>3030</v>
      </c>
      <c r="H48" t="s">
        <v>3031</v>
      </c>
    </row>
    <row r="49" spans="4:8" x14ac:dyDescent="0.25">
      <c r="D49" t="s">
        <v>3032</v>
      </c>
      <c r="E49" t="s">
        <v>3033</v>
      </c>
      <c r="H49" t="s">
        <v>3034</v>
      </c>
    </row>
    <row r="50" spans="4:8" x14ac:dyDescent="0.25">
      <c r="D50" t="s">
        <v>3035</v>
      </c>
      <c r="E50" t="s">
        <v>3036</v>
      </c>
      <c r="H50" t="s">
        <v>3037</v>
      </c>
    </row>
    <row r="51" spans="4:8" x14ac:dyDescent="0.25">
      <c r="D51" t="s">
        <v>3038</v>
      </c>
      <c r="E51" t="s">
        <v>3039</v>
      </c>
      <c r="H51" t="s">
        <v>3040</v>
      </c>
    </row>
    <row r="52" spans="4:8" x14ac:dyDescent="0.25">
      <c r="D52" t="s">
        <v>3041</v>
      </c>
      <c r="E52" t="s">
        <v>3042</v>
      </c>
      <c r="H52" t="s">
        <v>3043</v>
      </c>
    </row>
    <row r="53" spans="4:8" x14ac:dyDescent="0.25">
      <c r="D53" t="s">
        <v>3044</v>
      </c>
      <c r="E53" t="s">
        <v>3045</v>
      </c>
      <c r="H53" t="s">
        <v>3046</v>
      </c>
    </row>
    <row r="54" spans="4:8" x14ac:dyDescent="0.25">
      <c r="D54" t="s">
        <v>3047</v>
      </c>
      <c r="H54" t="s">
        <v>3048</v>
      </c>
    </row>
    <row r="55" spans="4:8" x14ac:dyDescent="0.25">
      <c r="D55" t="s">
        <v>3049</v>
      </c>
      <c r="H55" t="s">
        <v>3050</v>
      </c>
    </row>
    <row r="56" spans="4:8" x14ac:dyDescent="0.25">
      <c r="D56" t="s">
        <v>3051</v>
      </c>
      <c r="H56" t="s">
        <v>3052</v>
      </c>
    </row>
    <row r="57" spans="4:8" x14ac:dyDescent="0.25">
      <c r="D57" t="s">
        <v>3053</v>
      </c>
      <c r="H57" t="s">
        <v>3054</v>
      </c>
    </row>
    <row r="58" spans="4:8" x14ac:dyDescent="0.25">
      <c r="D58" t="s">
        <v>3055</v>
      </c>
      <c r="H58" t="s">
        <v>3056</v>
      </c>
    </row>
    <row r="59" spans="4:8" x14ac:dyDescent="0.25">
      <c r="D59" t="s">
        <v>3057</v>
      </c>
      <c r="H59" t="s">
        <v>3058</v>
      </c>
    </row>
    <row r="60" spans="4:8" x14ac:dyDescent="0.25">
      <c r="D60" t="s">
        <v>3059</v>
      </c>
      <c r="H60" t="s">
        <v>3060</v>
      </c>
    </row>
    <row r="61" spans="4:8" x14ac:dyDescent="0.25">
      <c r="D61" t="s">
        <v>3061</v>
      </c>
      <c r="H61" t="s">
        <v>3062</v>
      </c>
    </row>
    <row r="62" spans="4:8" x14ac:dyDescent="0.25">
      <c r="D62" t="s">
        <v>3063</v>
      </c>
      <c r="H62" t="s">
        <v>3064</v>
      </c>
    </row>
    <row r="63" spans="4:8" x14ac:dyDescent="0.25">
      <c r="D63" t="s">
        <v>3065</v>
      </c>
      <c r="H63" t="s">
        <v>3066</v>
      </c>
    </row>
    <row r="64" spans="4:8" x14ac:dyDescent="0.25">
      <c r="D64" t="s">
        <v>3067</v>
      </c>
      <c r="H64" t="s">
        <v>3068</v>
      </c>
    </row>
    <row r="65" spans="4:8" x14ac:dyDescent="0.25">
      <c r="D65" t="s">
        <v>3069</v>
      </c>
      <c r="H65" t="s">
        <v>3070</v>
      </c>
    </row>
    <row r="66" spans="4:8" x14ac:dyDescent="0.25">
      <c r="D66" t="s">
        <v>3071</v>
      </c>
      <c r="H66" t="s">
        <v>3072</v>
      </c>
    </row>
    <row r="67" spans="4:8" x14ac:dyDescent="0.25">
      <c r="D67" t="s">
        <v>3073</v>
      </c>
      <c r="H67" t="s">
        <v>3074</v>
      </c>
    </row>
    <row r="68" spans="4:8" x14ac:dyDescent="0.25">
      <c r="D68" t="s">
        <v>3075</v>
      </c>
      <c r="H68" t="s">
        <v>3076</v>
      </c>
    </row>
    <row r="69" spans="4:8" x14ac:dyDescent="0.25">
      <c r="D69" t="s">
        <v>3077</v>
      </c>
    </row>
    <row r="70" spans="4:8" x14ac:dyDescent="0.25">
      <c r="D70" t="s">
        <v>3078</v>
      </c>
    </row>
    <row r="71" spans="4:8" x14ac:dyDescent="0.25">
      <c r="D71" t="s">
        <v>3079</v>
      </c>
    </row>
    <row r="72" spans="4:8" x14ac:dyDescent="0.25">
      <c r="D72" t="s">
        <v>3080</v>
      </c>
    </row>
    <row r="73" spans="4:8" x14ac:dyDescent="0.25">
      <c r="D73" t="s">
        <v>3081</v>
      </c>
    </row>
    <row r="74" spans="4:8" x14ac:dyDescent="0.25">
      <c r="D74" t="s">
        <v>3082</v>
      </c>
    </row>
    <row r="75" spans="4:8" x14ac:dyDescent="0.25">
      <c r="D75" t="s">
        <v>3083</v>
      </c>
    </row>
    <row r="76" spans="4:8" x14ac:dyDescent="0.25">
      <c r="D76" t="s">
        <v>3084</v>
      </c>
    </row>
    <row r="77" spans="4:8" x14ac:dyDescent="0.25">
      <c r="D77" t="s">
        <v>3085</v>
      </c>
    </row>
    <row r="78" spans="4:8" x14ac:dyDescent="0.25">
      <c r="D78" t="s">
        <v>3086</v>
      </c>
    </row>
    <row r="79" spans="4:8" x14ac:dyDescent="0.25">
      <c r="D79" t="s">
        <v>3087</v>
      </c>
    </row>
    <row r="80" spans="4:8" x14ac:dyDescent="0.25">
      <c r="D80" t="s">
        <v>3088</v>
      </c>
    </row>
    <row r="81" spans="4:4" x14ac:dyDescent="0.25">
      <c r="D81" t="s">
        <v>3089</v>
      </c>
    </row>
    <row r="82" spans="4:4" x14ac:dyDescent="0.25">
      <c r="D82" t="s">
        <v>3090</v>
      </c>
    </row>
    <row r="83" spans="4:4" x14ac:dyDescent="0.25">
      <c r="D83" t="s">
        <v>3091</v>
      </c>
    </row>
    <row r="84" spans="4:4" x14ac:dyDescent="0.25">
      <c r="D84" t="s">
        <v>3092</v>
      </c>
    </row>
    <row r="85" spans="4:4" x14ac:dyDescent="0.25">
      <c r="D85" t="s">
        <v>3093</v>
      </c>
    </row>
    <row r="86" spans="4:4" x14ac:dyDescent="0.25">
      <c r="D86" t="s">
        <v>3094</v>
      </c>
    </row>
    <row r="87" spans="4:4" x14ac:dyDescent="0.25">
      <c r="D87" t="s">
        <v>3095</v>
      </c>
    </row>
    <row r="88" spans="4:4" x14ac:dyDescent="0.25">
      <c r="D88" t="s">
        <v>3096</v>
      </c>
    </row>
    <row r="89" spans="4:4" x14ac:dyDescent="0.25">
      <c r="D89" t="s">
        <v>3097</v>
      </c>
    </row>
    <row r="90" spans="4:4" x14ac:dyDescent="0.25">
      <c r="D90" t="s">
        <v>3098</v>
      </c>
    </row>
    <row r="91" spans="4:4" x14ac:dyDescent="0.25">
      <c r="D91" t="s">
        <v>3099</v>
      </c>
    </row>
    <row r="92" spans="4:4" x14ac:dyDescent="0.25">
      <c r="D92" t="s">
        <v>3100</v>
      </c>
    </row>
    <row r="93" spans="4:4" x14ac:dyDescent="0.25">
      <c r="D93" t="s">
        <v>3101</v>
      </c>
    </row>
    <row r="94" spans="4:4" x14ac:dyDescent="0.25">
      <c r="D94" t="s">
        <v>3102</v>
      </c>
    </row>
    <row r="95" spans="4:4" x14ac:dyDescent="0.25">
      <c r="D95" t="s">
        <v>3103</v>
      </c>
    </row>
    <row r="96" spans="4:4" x14ac:dyDescent="0.25">
      <c r="D96" t="s">
        <v>3104</v>
      </c>
    </row>
    <row r="97" spans="4:4" x14ac:dyDescent="0.25">
      <c r="D97" t="s">
        <v>3105</v>
      </c>
    </row>
    <row r="98" spans="4:4" x14ac:dyDescent="0.25">
      <c r="D98" t="s">
        <v>3106</v>
      </c>
    </row>
    <row r="99" spans="4:4" x14ac:dyDescent="0.25">
      <c r="D99" t="s">
        <v>3107</v>
      </c>
    </row>
    <row r="100" spans="4:4" x14ac:dyDescent="0.25">
      <c r="D100" t="s">
        <v>3108</v>
      </c>
    </row>
    <row r="101" spans="4:4" x14ac:dyDescent="0.25">
      <c r="D101" t="s">
        <v>3109</v>
      </c>
    </row>
    <row r="102" spans="4:4" x14ac:dyDescent="0.25">
      <c r="D102" t="s">
        <v>3110</v>
      </c>
    </row>
    <row r="103" spans="4:4" x14ac:dyDescent="0.25">
      <c r="D103" t="s">
        <v>3111</v>
      </c>
    </row>
    <row r="104" spans="4:4" x14ac:dyDescent="0.25">
      <c r="D104" t="s">
        <v>3112</v>
      </c>
    </row>
    <row r="105" spans="4:4" x14ac:dyDescent="0.25">
      <c r="D105" t="s">
        <v>3113</v>
      </c>
    </row>
    <row r="106" spans="4:4" x14ac:dyDescent="0.25">
      <c r="D106" t="s">
        <v>3114</v>
      </c>
    </row>
    <row r="107" spans="4:4" x14ac:dyDescent="0.25">
      <c r="D107" t="s">
        <v>3115</v>
      </c>
    </row>
    <row r="108" spans="4:4" x14ac:dyDescent="0.25">
      <c r="D108" t="s">
        <v>3116</v>
      </c>
    </row>
    <row r="109" spans="4:4" x14ac:dyDescent="0.25">
      <c r="D109" t="s">
        <v>3117</v>
      </c>
    </row>
    <row r="110" spans="4:4" x14ac:dyDescent="0.25">
      <c r="D110" t="s">
        <v>3118</v>
      </c>
    </row>
    <row r="111" spans="4:4" x14ac:dyDescent="0.25">
      <c r="D111" t="s">
        <v>3119</v>
      </c>
    </row>
    <row r="112" spans="4:4" x14ac:dyDescent="0.25">
      <c r="D112" t="s">
        <v>3120</v>
      </c>
    </row>
    <row r="113" spans="4:4" x14ac:dyDescent="0.25">
      <c r="D113" t="s">
        <v>3121</v>
      </c>
    </row>
    <row r="114" spans="4:4" x14ac:dyDescent="0.25">
      <c r="D114" t="s">
        <v>3122</v>
      </c>
    </row>
    <row r="115" spans="4:4" x14ac:dyDescent="0.25">
      <c r="D115" t="s">
        <v>3123</v>
      </c>
    </row>
    <row r="116" spans="4:4" x14ac:dyDescent="0.25">
      <c r="D116" t="s">
        <v>3124</v>
      </c>
    </row>
    <row r="117" spans="4:4" x14ac:dyDescent="0.25">
      <c r="D117" t="s">
        <v>3125</v>
      </c>
    </row>
    <row r="118" spans="4:4" x14ac:dyDescent="0.25">
      <c r="D118" t="s">
        <v>3126</v>
      </c>
    </row>
    <row r="119" spans="4:4" x14ac:dyDescent="0.25">
      <c r="D119" t="s">
        <v>3127</v>
      </c>
    </row>
    <row r="120" spans="4:4" x14ac:dyDescent="0.25">
      <c r="D120" t="s">
        <v>3128</v>
      </c>
    </row>
    <row r="121" spans="4:4" x14ac:dyDescent="0.25">
      <c r="D121" t="s">
        <v>3129</v>
      </c>
    </row>
    <row r="122" spans="4:4" x14ac:dyDescent="0.25">
      <c r="D122" t="s">
        <v>3130</v>
      </c>
    </row>
    <row r="123" spans="4:4" x14ac:dyDescent="0.25">
      <c r="D123" t="s">
        <v>3131</v>
      </c>
    </row>
    <row r="124" spans="4:4" x14ac:dyDescent="0.25">
      <c r="D124" t="s">
        <v>3132</v>
      </c>
    </row>
    <row r="125" spans="4:4" x14ac:dyDescent="0.25">
      <c r="D125" t="s">
        <v>3133</v>
      </c>
    </row>
    <row r="126" spans="4:4" x14ac:dyDescent="0.25">
      <c r="D126" t="s">
        <v>3134</v>
      </c>
    </row>
    <row r="127" spans="4:4" x14ac:dyDescent="0.25">
      <c r="D127" t="s">
        <v>3135</v>
      </c>
    </row>
    <row r="128" spans="4:4" x14ac:dyDescent="0.25">
      <c r="D128" t="s">
        <v>3136</v>
      </c>
    </row>
    <row r="129" spans="4:4" x14ac:dyDescent="0.25">
      <c r="D129" t="s">
        <v>3137</v>
      </c>
    </row>
    <row r="130" spans="4:4" x14ac:dyDescent="0.25">
      <c r="D130" t="s">
        <v>3138</v>
      </c>
    </row>
    <row r="131" spans="4:4" x14ac:dyDescent="0.25">
      <c r="D131" t="s">
        <v>3139</v>
      </c>
    </row>
    <row r="132" spans="4:4" x14ac:dyDescent="0.25">
      <c r="D132" t="s">
        <v>3140</v>
      </c>
    </row>
    <row r="133" spans="4:4" x14ac:dyDescent="0.25">
      <c r="D133" t="s">
        <v>3141</v>
      </c>
    </row>
    <row r="134" spans="4:4" x14ac:dyDescent="0.25">
      <c r="D134" t="s">
        <v>3142</v>
      </c>
    </row>
    <row r="135" spans="4:4" x14ac:dyDescent="0.25">
      <c r="D135" t="s">
        <v>3143</v>
      </c>
    </row>
    <row r="136" spans="4:4" x14ac:dyDescent="0.25">
      <c r="D136" t="s">
        <v>3144</v>
      </c>
    </row>
    <row r="137" spans="4:4" x14ac:dyDescent="0.25">
      <c r="D137" t="s">
        <v>3145</v>
      </c>
    </row>
    <row r="138" spans="4:4" x14ac:dyDescent="0.25">
      <c r="D138" t="s">
        <v>3146</v>
      </c>
    </row>
    <row r="139" spans="4:4" x14ac:dyDescent="0.25">
      <c r="D139" t="s">
        <v>3147</v>
      </c>
    </row>
    <row r="140" spans="4:4" x14ac:dyDescent="0.25">
      <c r="D140" t="s">
        <v>3148</v>
      </c>
    </row>
    <row r="141" spans="4:4" x14ac:dyDescent="0.25">
      <c r="D141" t="s">
        <v>3149</v>
      </c>
    </row>
    <row r="142" spans="4:4" x14ac:dyDescent="0.25">
      <c r="D142" t="s">
        <v>3150</v>
      </c>
    </row>
    <row r="143" spans="4:4" x14ac:dyDescent="0.25">
      <c r="D143" t="s">
        <v>3151</v>
      </c>
    </row>
    <row r="144" spans="4:4" x14ac:dyDescent="0.25">
      <c r="D144" t="s">
        <v>3152</v>
      </c>
    </row>
    <row r="145" spans="4:4" x14ac:dyDescent="0.25">
      <c r="D145" t="s">
        <v>3153</v>
      </c>
    </row>
    <row r="146" spans="4:4" x14ac:dyDescent="0.25">
      <c r="D146" t="s">
        <v>3154</v>
      </c>
    </row>
    <row r="147" spans="4:4" x14ac:dyDescent="0.25">
      <c r="D147" t="s">
        <v>3155</v>
      </c>
    </row>
    <row r="148" spans="4:4" x14ac:dyDescent="0.25">
      <c r="D148" t="s">
        <v>3156</v>
      </c>
    </row>
    <row r="149" spans="4:4" x14ac:dyDescent="0.25">
      <c r="D149" t="s">
        <v>3157</v>
      </c>
    </row>
    <row r="150" spans="4:4" x14ac:dyDescent="0.25">
      <c r="D150" t="s">
        <v>3158</v>
      </c>
    </row>
    <row r="151" spans="4:4" x14ac:dyDescent="0.25">
      <c r="D151" t="s">
        <v>3159</v>
      </c>
    </row>
    <row r="152" spans="4:4" x14ac:dyDescent="0.25">
      <c r="D152" t="s">
        <v>3160</v>
      </c>
    </row>
    <row r="153" spans="4:4" x14ac:dyDescent="0.25">
      <c r="D153" t="s">
        <v>3161</v>
      </c>
    </row>
    <row r="154" spans="4:4" x14ac:dyDescent="0.25">
      <c r="D154" t="s">
        <v>3162</v>
      </c>
    </row>
    <row r="155" spans="4:4" x14ac:dyDescent="0.25">
      <c r="D155" t="s">
        <v>3163</v>
      </c>
    </row>
    <row r="156" spans="4:4" x14ac:dyDescent="0.25">
      <c r="D156" t="s">
        <v>3164</v>
      </c>
    </row>
    <row r="157" spans="4:4" x14ac:dyDescent="0.25">
      <c r="D157" t="s">
        <v>3165</v>
      </c>
    </row>
    <row r="158" spans="4:4" x14ac:dyDescent="0.25">
      <c r="D158" t="s">
        <v>3166</v>
      </c>
    </row>
    <row r="159" spans="4:4" x14ac:dyDescent="0.25">
      <c r="D159" t="s">
        <v>3167</v>
      </c>
    </row>
    <row r="160" spans="4:4" x14ac:dyDescent="0.25">
      <c r="D160" t="s">
        <v>3168</v>
      </c>
    </row>
    <row r="161" spans="4:4" x14ac:dyDescent="0.25">
      <c r="D161" t="s">
        <v>3169</v>
      </c>
    </row>
    <row r="162" spans="4:4" x14ac:dyDescent="0.25">
      <c r="D162" t="s">
        <v>3170</v>
      </c>
    </row>
    <row r="163" spans="4:4" x14ac:dyDescent="0.25">
      <c r="D163" t="s">
        <v>3171</v>
      </c>
    </row>
    <row r="164" spans="4:4" x14ac:dyDescent="0.25">
      <c r="D164" t="s">
        <v>3172</v>
      </c>
    </row>
    <row r="165" spans="4:4" x14ac:dyDescent="0.25">
      <c r="D165" t="s">
        <v>3173</v>
      </c>
    </row>
    <row r="166" spans="4:4" x14ac:dyDescent="0.25">
      <c r="D166" t="s">
        <v>3174</v>
      </c>
    </row>
    <row r="167" spans="4:4" x14ac:dyDescent="0.25">
      <c r="D167" t="s">
        <v>3175</v>
      </c>
    </row>
    <row r="168" spans="4:4" x14ac:dyDescent="0.25">
      <c r="D168" t="s">
        <v>3176</v>
      </c>
    </row>
    <row r="169" spans="4:4" x14ac:dyDescent="0.25">
      <c r="D169" t="s">
        <v>3177</v>
      </c>
    </row>
    <row r="170" spans="4:4" x14ac:dyDescent="0.25">
      <c r="D170" t="s">
        <v>3178</v>
      </c>
    </row>
    <row r="171" spans="4:4" x14ac:dyDescent="0.25">
      <c r="D171" t="s">
        <v>3179</v>
      </c>
    </row>
    <row r="172" spans="4:4" x14ac:dyDescent="0.25">
      <c r="D172" t="s">
        <v>3180</v>
      </c>
    </row>
    <row r="173" spans="4:4" x14ac:dyDescent="0.25">
      <c r="D173" t="s">
        <v>3181</v>
      </c>
    </row>
    <row r="174" spans="4:4" x14ac:dyDescent="0.25">
      <c r="D174" t="s">
        <v>3182</v>
      </c>
    </row>
    <row r="175" spans="4:4" x14ac:dyDescent="0.25">
      <c r="D175" t="s">
        <v>3183</v>
      </c>
    </row>
    <row r="176" spans="4:4" x14ac:dyDescent="0.25">
      <c r="D176" t="s">
        <v>3184</v>
      </c>
    </row>
    <row r="177" spans="4:4" x14ac:dyDescent="0.25">
      <c r="D177" t="s">
        <v>3185</v>
      </c>
    </row>
    <row r="178" spans="4:4" x14ac:dyDescent="0.25">
      <c r="D178" t="s">
        <v>3186</v>
      </c>
    </row>
    <row r="179" spans="4:4" x14ac:dyDescent="0.25">
      <c r="D179" t="s">
        <v>3187</v>
      </c>
    </row>
    <row r="180" spans="4:4" x14ac:dyDescent="0.25">
      <c r="D180" t="s">
        <v>3188</v>
      </c>
    </row>
    <row r="181" spans="4:4" x14ac:dyDescent="0.25">
      <c r="D181" t="s">
        <v>3189</v>
      </c>
    </row>
    <row r="182" spans="4:4" x14ac:dyDescent="0.25">
      <c r="D182" t="s">
        <v>3190</v>
      </c>
    </row>
    <row r="183" spans="4:4" x14ac:dyDescent="0.25">
      <c r="D183" t="s">
        <v>3191</v>
      </c>
    </row>
    <row r="184" spans="4:4" x14ac:dyDescent="0.25">
      <c r="D184" t="s">
        <v>3192</v>
      </c>
    </row>
    <row r="185" spans="4:4" x14ac:dyDescent="0.25">
      <c r="D185" t="s">
        <v>3193</v>
      </c>
    </row>
    <row r="186" spans="4:4" x14ac:dyDescent="0.25">
      <c r="D186" t="s">
        <v>3194</v>
      </c>
    </row>
    <row r="187" spans="4:4" x14ac:dyDescent="0.25">
      <c r="D187" t="s">
        <v>3195</v>
      </c>
    </row>
    <row r="188" spans="4:4" x14ac:dyDescent="0.25">
      <c r="D188" t="s">
        <v>3196</v>
      </c>
    </row>
    <row r="189" spans="4:4" x14ac:dyDescent="0.25">
      <c r="D189" t="s">
        <v>3197</v>
      </c>
    </row>
    <row r="190" spans="4:4" x14ac:dyDescent="0.25">
      <c r="D190" t="s">
        <v>3198</v>
      </c>
    </row>
    <row r="191" spans="4:4" x14ac:dyDescent="0.25">
      <c r="D191" t="s">
        <v>3199</v>
      </c>
    </row>
    <row r="192" spans="4:4" x14ac:dyDescent="0.25">
      <c r="D192" t="s">
        <v>3200</v>
      </c>
    </row>
    <row r="193" spans="4:4" x14ac:dyDescent="0.25">
      <c r="D193" t="s">
        <v>3201</v>
      </c>
    </row>
    <row r="194" spans="4:4" x14ac:dyDescent="0.25">
      <c r="D194" t="s">
        <v>3202</v>
      </c>
    </row>
    <row r="195" spans="4:4" x14ac:dyDescent="0.25">
      <c r="D195" t="s">
        <v>3203</v>
      </c>
    </row>
    <row r="196" spans="4:4" x14ac:dyDescent="0.25">
      <c r="D196" t="s">
        <v>3204</v>
      </c>
    </row>
    <row r="197" spans="4:4" x14ac:dyDescent="0.25">
      <c r="D197" t="s">
        <v>3205</v>
      </c>
    </row>
    <row r="198" spans="4:4" x14ac:dyDescent="0.25">
      <c r="D198" t="s">
        <v>3206</v>
      </c>
    </row>
    <row r="199" spans="4:4" x14ac:dyDescent="0.25">
      <c r="D199" t="s">
        <v>2903</v>
      </c>
    </row>
    <row r="200" spans="4:4" x14ac:dyDescent="0.25">
      <c r="D200" t="s">
        <v>3207</v>
      </c>
    </row>
    <row r="201" spans="4:4" x14ac:dyDescent="0.25">
      <c r="D201" t="s">
        <v>3208</v>
      </c>
    </row>
    <row r="202" spans="4:4" x14ac:dyDescent="0.25">
      <c r="D202" t="s">
        <v>3209</v>
      </c>
    </row>
    <row r="203" spans="4:4" x14ac:dyDescent="0.25">
      <c r="D203" t="s">
        <v>3210</v>
      </c>
    </row>
    <row r="204" spans="4:4" x14ac:dyDescent="0.25">
      <c r="D204" t="s">
        <v>3211</v>
      </c>
    </row>
    <row r="205" spans="4:4" x14ac:dyDescent="0.25">
      <c r="D205" t="s">
        <v>3212</v>
      </c>
    </row>
    <row r="206" spans="4:4" x14ac:dyDescent="0.25">
      <c r="D206" t="s">
        <v>3213</v>
      </c>
    </row>
    <row r="207" spans="4:4" x14ac:dyDescent="0.25">
      <c r="D207" t="s">
        <v>3214</v>
      </c>
    </row>
    <row r="208" spans="4:4" x14ac:dyDescent="0.25">
      <c r="D208" t="s">
        <v>3215</v>
      </c>
    </row>
    <row r="209" spans="4:4" x14ac:dyDescent="0.25">
      <c r="D209" t="s">
        <v>3216</v>
      </c>
    </row>
    <row r="210" spans="4:4" x14ac:dyDescent="0.25">
      <c r="D210" t="s">
        <v>3217</v>
      </c>
    </row>
    <row r="211" spans="4:4" x14ac:dyDescent="0.25">
      <c r="D211" t="s">
        <v>3218</v>
      </c>
    </row>
    <row r="212" spans="4:4" x14ac:dyDescent="0.25">
      <c r="D212" t="s">
        <v>3219</v>
      </c>
    </row>
    <row r="213" spans="4:4" x14ac:dyDescent="0.25">
      <c r="D213" t="s">
        <v>3220</v>
      </c>
    </row>
    <row r="214" spans="4:4" x14ac:dyDescent="0.25">
      <c r="D214" t="s">
        <v>3221</v>
      </c>
    </row>
    <row r="215" spans="4:4" x14ac:dyDescent="0.25">
      <c r="D215" t="s">
        <v>3222</v>
      </c>
    </row>
    <row r="216" spans="4:4" x14ac:dyDescent="0.25">
      <c r="D216" t="s">
        <v>3223</v>
      </c>
    </row>
    <row r="217" spans="4:4" x14ac:dyDescent="0.25">
      <c r="D217" t="s">
        <v>3224</v>
      </c>
    </row>
    <row r="218" spans="4:4" x14ac:dyDescent="0.25">
      <c r="D218" t="s">
        <v>3225</v>
      </c>
    </row>
    <row r="219" spans="4:4" x14ac:dyDescent="0.25">
      <c r="D219" t="s">
        <v>3226</v>
      </c>
    </row>
    <row r="220" spans="4:4" x14ac:dyDescent="0.25">
      <c r="D220" t="s">
        <v>3227</v>
      </c>
    </row>
    <row r="221" spans="4:4" x14ac:dyDescent="0.25">
      <c r="D221" t="s">
        <v>3228</v>
      </c>
    </row>
    <row r="222" spans="4:4" x14ac:dyDescent="0.25">
      <c r="D222" t="s">
        <v>3229</v>
      </c>
    </row>
    <row r="223" spans="4:4" x14ac:dyDescent="0.25">
      <c r="D223" t="s">
        <v>3230</v>
      </c>
    </row>
    <row r="224" spans="4:4" x14ac:dyDescent="0.25">
      <c r="D224" t="s">
        <v>3231</v>
      </c>
    </row>
    <row r="225" spans="4:4" x14ac:dyDescent="0.25">
      <c r="D225" t="s">
        <v>3232</v>
      </c>
    </row>
    <row r="226" spans="4:4" x14ac:dyDescent="0.25">
      <c r="D226" t="s">
        <v>3233</v>
      </c>
    </row>
    <row r="227" spans="4:4" x14ac:dyDescent="0.25">
      <c r="D227" t="s">
        <v>3234</v>
      </c>
    </row>
    <row r="228" spans="4:4" x14ac:dyDescent="0.25">
      <c r="D228" t="s">
        <v>3235</v>
      </c>
    </row>
    <row r="229" spans="4:4" x14ac:dyDescent="0.25">
      <c r="D229" t="s">
        <v>3236</v>
      </c>
    </row>
    <row r="230" spans="4:4" x14ac:dyDescent="0.25">
      <c r="D230" t="s">
        <v>3237</v>
      </c>
    </row>
    <row r="231" spans="4:4" x14ac:dyDescent="0.25">
      <c r="D231" t="s">
        <v>3238</v>
      </c>
    </row>
    <row r="232" spans="4:4" x14ac:dyDescent="0.25">
      <c r="D232" t="s">
        <v>3239</v>
      </c>
    </row>
    <row r="233" spans="4:4" x14ac:dyDescent="0.25">
      <c r="D233" t="s">
        <v>3240</v>
      </c>
    </row>
    <row r="234" spans="4:4" x14ac:dyDescent="0.25">
      <c r="D234" t="s">
        <v>3241</v>
      </c>
    </row>
    <row r="235" spans="4:4" x14ac:dyDescent="0.25">
      <c r="D235" t="s">
        <v>3242</v>
      </c>
    </row>
    <row r="236" spans="4:4" x14ac:dyDescent="0.25">
      <c r="D236" t="s">
        <v>3243</v>
      </c>
    </row>
    <row r="237" spans="4:4" x14ac:dyDescent="0.25">
      <c r="D237" t="s">
        <v>3244</v>
      </c>
    </row>
    <row r="238" spans="4:4" x14ac:dyDescent="0.25">
      <c r="D238" t="s">
        <v>3245</v>
      </c>
    </row>
    <row r="239" spans="4:4" x14ac:dyDescent="0.25">
      <c r="D239" t="s">
        <v>3246</v>
      </c>
    </row>
    <row r="240" spans="4:4" x14ac:dyDescent="0.25">
      <c r="D240" t="s">
        <v>3247</v>
      </c>
    </row>
    <row r="241" spans="4:4" x14ac:dyDescent="0.25">
      <c r="D241" t="s">
        <v>3248</v>
      </c>
    </row>
    <row r="242" spans="4:4" x14ac:dyDescent="0.25">
      <c r="D242" t="s">
        <v>3249</v>
      </c>
    </row>
    <row r="243" spans="4:4" x14ac:dyDescent="0.25">
      <c r="D243" t="s">
        <v>3250</v>
      </c>
    </row>
    <row r="244" spans="4:4" x14ac:dyDescent="0.25">
      <c r="D244" t="s">
        <v>3251</v>
      </c>
    </row>
    <row r="245" spans="4:4" x14ac:dyDescent="0.25">
      <c r="D245" t="s">
        <v>3252</v>
      </c>
    </row>
    <row r="246" spans="4:4" x14ac:dyDescent="0.25">
      <c r="D246" t="s">
        <v>3253</v>
      </c>
    </row>
    <row r="247" spans="4:4" x14ac:dyDescent="0.25">
      <c r="D247" t="s">
        <v>3254</v>
      </c>
    </row>
    <row r="248" spans="4:4" x14ac:dyDescent="0.25">
      <c r="D248" t="s">
        <v>3255</v>
      </c>
    </row>
    <row r="249" spans="4:4" x14ac:dyDescent="0.25">
      <c r="D249" t="s">
        <v>3256</v>
      </c>
    </row>
    <row r="250" spans="4:4" x14ac:dyDescent="0.25">
      <c r="D250" t="s">
        <v>3257</v>
      </c>
    </row>
    <row r="251" spans="4:4" x14ac:dyDescent="0.25">
      <c r="D251" t="s">
        <v>3258</v>
      </c>
    </row>
    <row r="252" spans="4:4" x14ac:dyDescent="0.25">
      <c r="D252" t="s">
        <v>3259</v>
      </c>
    </row>
    <row r="253" spans="4:4" x14ac:dyDescent="0.25">
      <c r="D253" t="s">
        <v>3260</v>
      </c>
    </row>
    <row r="254" spans="4:4" x14ac:dyDescent="0.25">
      <c r="D254" t="s">
        <v>3261</v>
      </c>
    </row>
    <row r="255" spans="4:4" x14ac:dyDescent="0.25">
      <c r="D255" t="s">
        <v>3262</v>
      </c>
    </row>
    <row r="256" spans="4:4" x14ac:dyDescent="0.25">
      <c r="D256" t="s">
        <v>3263</v>
      </c>
    </row>
    <row r="257" spans="4:4" x14ac:dyDescent="0.25">
      <c r="D257" t="s">
        <v>3264</v>
      </c>
    </row>
    <row r="258" spans="4:4" x14ac:dyDescent="0.25">
      <c r="D258" t="s">
        <v>3265</v>
      </c>
    </row>
    <row r="259" spans="4:4" x14ac:dyDescent="0.25">
      <c r="D259" t="s">
        <v>3266</v>
      </c>
    </row>
    <row r="260" spans="4:4" x14ac:dyDescent="0.25">
      <c r="D260" t="s">
        <v>3267</v>
      </c>
    </row>
    <row r="261" spans="4:4" x14ac:dyDescent="0.25">
      <c r="D261" t="s">
        <v>3268</v>
      </c>
    </row>
    <row r="262" spans="4:4" x14ac:dyDescent="0.25">
      <c r="D262" t="s">
        <v>3269</v>
      </c>
    </row>
    <row r="263" spans="4:4" x14ac:dyDescent="0.25">
      <c r="D263" t="s">
        <v>3270</v>
      </c>
    </row>
    <row r="264" spans="4:4" x14ac:dyDescent="0.25">
      <c r="D264" t="s">
        <v>3271</v>
      </c>
    </row>
    <row r="265" spans="4:4" x14ac:dyDescent="0.25">
      <c r="D265" t="s">
        <v>3272</v>
      </c>
    </row>
    <row r="266" spans="4:4" x14ac:dyDescent="0.25">
      <c r="D266" t="s">
        <v>3273</v>
      </c>
    </row>
    <row r="267" spans="4:4" x14ac:dyDescent="0.25">
      <c r="D267" t="s">
        <v>3274</v>
      </c>
    </row>
    <row r="268" spans="4:4" x14ac:dyDescent="0.25">
      <c r="D268" t="s">
        <v>3275</v>
      </c>
    </row>
    <row r="269" spans="4:4" x14ac:dyDescent="0.25">
      <c r="D269" t="s">
        <v>3276</v>
      </c>
    </row>
    <row r="270" spans="4:4" x14ac:dyDescent="0.25">
      <c r="D270" t="s">
        <v>3277</v>
      </c>
    </row>
    <row r="271" spans="4:4" x14ac:dyDescent="0.25">
      <c r="D271" t="s">
        <v>3278</v>
      </c>
    </row>
    <row r="272" spans="4:4" x14ac:dyDescent="0.25">
      <c r="D272" t="s">
        <v>3279</v>
      </c>
    </row>
    <row r="273" spans="4:4" x14ac:dyDescent="0.25">
      <c r="D273" t="s">
        <v>3280</v>
      </c>
    </row>
    <row r="274" spans="4:4" x14ac:dyDescent="0.25">
      <c r="D274" t="s">
        <v>3281</v>
      </c>
    </row>
    <row r="275" spans="4:4" x14ac:dyDescent="0.25">
      <c r="D275" t="s">
        <v>3282</v>
      </c>
    </row>
    <row r="276" spans="4:4" x14ac:dyDescent="0.25">
      <c r="D276" t="s">
        <v>3283</v>
      </c>
    </row>
    <row r="277" spans="4:4" x14ac:dyDescent="0.25">
      <c r="D277" t="s">
        <v>3284</v>
      </c>
    </row>
    <row r="278" spans="4:4" x14ac:dyDescent="0.25">
      <c r="D278" t="s">
        <v>3285</v>
      </c>
    </row>
    <row r="279" spans="4:4" x14ac:dyDescent="0.25">
      <c r="D279" t="s">
        <v>3286</v>
      </c>
    </row>
    <row r="280" spans="4:4" x14ac:dyDescent="0.25">
      <c r="D280" t="s">
        <v>3287</v>
      </c>
    </row>
    <row r="281" spans="4:4" x14ac:dyDescent="0.25">
      <c r="D281" t="s">
        <v>3288</v>
      </c>
    </row>
    <row r="282" spans="4:4" x14ac:dyDescent="0.25">
      <c r="D282" t="s">
        <v>3289</v>
      </c>
    </row>
    <row r="283" spans="4:4" x14ac:dyDescent="0.25">
      <c r="D283" t="s">
        <v>3290</v>
      </c>
    </row>
    <row r="284" spans="4:4" x14ac:dyDescent="0.25">
      <c r="D284" t="s">
        <v>3291</v>
      </c>
    </row>
    <row r="285" spans="4:4" x14ac:dyDescent="0.25">
      <c r="D285" t="s">
        <v>3292</v>
      </c>
    </row>
    <row r="286" spans="4:4" x14ac:dyDescent="0.25">
      <c r="D286" t="s">
        <v>3293</v>
      </c>
    </row>
    <row r="287" spans="4:4" x14ac:dyDescent="0.25">
      <c r="D287" t="s">
        <v>3294</v>
      </c>
    </row>
    <row r="288" spans="4:4" x14ac:dyDescent="0.25">
      <c r="D288" t="s">
        <v>3295</v>
      </c>
    </row>
    <row r="289" spans="4:4" x14ac:dyDescent="0.25">
      <c r="D289" t="s">
        <v>3296</v>
      </c>
    </row>
    <row r="290" spans="4:4" x14ac:dyDescent="0.25">
      <c r="D290" t="s">
        <v>3297</v>
      </c>
    </row>
    <row r="291" spans="4:4" x14ac:dyDescent="0.25">
      <c r="D291" t="s">
        <v>3298</v>
      </c>
    </row>
    <row r="292" spans="4:4" x14ac:dyDescent="0.25">
      <c r="D292" t="s">
        <v>3299</v>
      </c>
    </row>
    <row r="293" spans="4:4" x14ac:dyDescent="0.25">
      <c r="D293" t="s">
        <v>3300</v>
      </c>
    </row>
    <row r="294" spans="4:4" x14ac:dyDescent="0.25">
      <c r="D294" t="s">
        <v>3301</v>
      </c>
    </row>
  </sheetData>
  <autoFilter ref="A1:D294" xr:uid="{7A7803B7-481E-4942-AB9B-084A80748D00}"/>
  <sortState xmlns:xlrd2="http://schemas.microsoft.com/office/spreadsheetml/2017/richdata2" ref="D2:D294">
    <sortCondition ref="D2:D29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45EC36314AA3CD4C81173029960C19DC" ma:contentTypeVersion="28" ma:contentTypeDescription="Create a new document." ma:contentTypeScope="" ma:versionID="dc4ab25992a37c10d44fe83871104143">
  <xsd:schema xmlns:xsd="http://www.w3.org/2001/XMLSchema" xmlns:xs="http://www.w3.org/2001/XMLSchema" xmlns:p="http://schemas.microsoft.com/office/2006/metadata/properties" xmlns:ns1="http://schemas.microsoft.com/sharepoint/v3" xmlns:ns2="0260d73d-2de3-4c57-97c0-314513ae0e18" xmlns:ns3="ddd471ea-fe82-4e78-9c1d-44a9c13d9e3e" targetNamespace="http://schemas.microsoft.com/office/2006/metadata/properties" ma:root="true" ma:fieldsID="46c64a3a36abc5d7a17b9021438d753b" ns1:_="" ns2:_="" ns3:_="">
    <xsd:import namespace="http://schemas.microsoft.com/sharepoint/v3"/>
    <xsd:import namespace="0260d73d-2de3-4c57-97c0-314513ae0e18"/>
    <xsd:import namespace="ddd471ea-fe82-4e78-9c1d-44a9c13d9e3e"/>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60d73d-2de3-4c57-97c0-314513ae0e1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bcffdb-551f-431e-ba7e-aa0419460a6d}" ma:internalName="TaxCatchAll" ma:showField="CatchAllData" ma:web="0260d73d-2de3-4c57-97c0-314513ae0e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dd471ea-fe82-4e78-9c1d-44a9c13d9e3e"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description="" ma:hidden="true" ma:internalName="MediaServiceObjectDetectorVersions" ma:readOnly="true">
      <xsd:simpleType>
        <xsd:restriction base="dms:Text"/>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f5b6eb6-f54a-42b0-9e53-661be12aea02" ma:termSetId="09814cd3-568e-fe90-9814-8d621ff8fb84" ma:anchorId="fba54fb3-c3e1-fe81-a776-ca4b69148c4d" ma:open="true" ma:isKeyword="false">
      <xsd:complexType>
        <xsd:sequence>
          <xsd:element ref="pc:Terms" minOccurs="0" maxOccurs="1"/>
        </xsd:sequence>
      </xsd:complexType>
    </xsd:element>
    <xsd:element name="MediaServiceOCR" ma:index="24" nillable="true" ma:displayName="Extracted Text" ma:internalName="MediaServiceOCR" ma:readOnly="tru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PublishingExpirationDate xmlns="http://schemas.microsoft.com/sharepoint/v3" xsi:nil="true"/>
    <PublishingStartDate xmlns="http://schemas.microsoft.com/sharepoint/v3" xsi:nil="true"/>
    <lcf76f155ced4ddcb4097134ff3c332f xmlns="ddd471ea-fe82-4e78-9c1d-44a9c13d9e3e">
      <Terms xmlns="http://schemas.microsoft.com/office/infopath/2007/PartnerControls"/>
    </lcf76f155ced4ddcb4097134ff3c332f>
    <TaxCatchAll xmlns="0260d73d-2de3-4c57-97c0-314513ae0e18" xsi:nil="true"/>
  </documentManagement>
</p:properties>
</file>

<file path=customXml/itemProps1.xml><?xml version="1.0" encoding="utf-8"?>
<ds:datastoreItem xmlns:ds="http://schemas.openxmlformats.org/officeDocument/2006/customXml" ds:itemID="{CA5BA061-3170-4870-B42E-B1013DF591CD}">
  <ds:schemaRefs>
    <ds:schemaRef ds:uri="http://schemas.microsoft.com/sharepoint/v3/contenttype/forms"/>
  </ds:schemaRefs>
</ds:datastoreItem>
</file>

<file path=customXml/itemProps2.xml><?xml version="1.0" encoding="utf-8"?>
<ds:datastoreItem xmlns:ds="http://schemas.openxmlformats.org/officeDocument/2006/customXml" ds:itemID="{C6C04D59-0C74-4600-9C87-6757C53C1B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260d73d-2de3-4c57-97c0-314513ae0e18"/>
    <ds:schemaRef ds:uri="ddd471ea-fe82-4e78-9c1d-44a9c13d9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21E6E1-9765-4157-B301-995FED53EF59}">
  <ds:schemaRefs>
    <ds:schemaRef ds:uri="http://schemas.microsoft.com/office/2006/metadata/properties"/>
    <ds:schemaRef ds:uri="http://schemas.microsoft.com/office/infopath/2007/PartnerControls"/>
    <ds:schemaRef ds:uri="http://schemas.microsoft.com/sharepoint/v3"/>
    <ds:schemaRef ds:uri="ddd471ea-fe82-4e78-9c1d-44a9c13d9e3e"/>
    <ds:schemaRef ds:uri="0260d73d-2de3-4c57-97c0-314513ae0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LOAP</vt:lpstr>
      <vt:lpstr>Credentialing Doc Checklist</vt:lpstr>
      <vt:lpstr>Sheet4</vt:lpstr>
      <vt:lpstr>Sheet2</vt:lpstr>
      <vt:lpstr>CBH_Taxonomies</vt:lpstr>
      <vt:lpstr>Sheet1</vt:lpstr>
      <vt:lpstr>LOAP!portico_specialty</vt:lpstr>
      <vt:lpstr>portico_specialty</vt:lpstr>
    </vt:vector>
  </TitlesOfParts>
  <Manager>Kevin Gardner</Manager>
  <Company>Centene,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Affiliated Practitioners</dc:title>
  <dc:subject>List of Affiliated Practitioners</dc:subject>
  <dc:creator>Sunshine Health</dc:creator>
  <cp:keywords>LOAP;Roster</cp:keywords>
  <dc:description/>
  <cp:lastModifiedBy>Kevin Gardner</cp:lastModifiedBy>
  <cp:revision/>
  <dcterms:created xsi:type="dcterms:W3CDTF">2019-12-31T15:00:42Z</dcterms:created>
  <dcterms:modified xsi:type="dcterms:W3CDTF">2024-02-15T20:43:21Z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0x01010045EC36314AA3CD4C81173029960C19DC</vt:lpwstr>
  </property>
  <property fmtid="{D5CDD505-2E9C-101B-9397-08002B2CF9AE}" pid="3" name="MSIP_Label_aaabd579-6ac7-44f9-a040-3c8969a909e9_ActionId">
    <vt:lpwstr>3b22dab8-fb21-40db-aa2e-ff1288fd62de</vt:lpwstr>
  </property>
  <property fmtid="{D5CDD505-2E9C-101B-9397-08002B2CF9AE}" pid="4" name="MSIP_Label_aaabd579-6ac7-44f9-a040-3c8969a909e9_Name">
    <vt:lpwstr>Confidential Data \ Confidential Standard</vt:lpwstr>
  </property>
  <property fmtid="{D5CDD505-2E9C-101B-9397-08002B2CF9AE}" pid="5" name="MSIP_Label_aaabd579-6ac7-44f9-a040-3c8969a909e9_SetDate">
    <vt:lpwstr>2023-11-10T10:16:11Z</vt:lpwstr>
  </property>
  <property fmtid="{D5CDD505-2E9C-101B-9397-08002B2CF9AE}" pid="6" name="MSIP_Label_aaabd579-6ac7-44f9-a040-3c8969a909e9_SiteId">
    <vt:lpwstr>f45ccc07-e57e-4d15-bf6f-f6cbccd2d395</vt:lpwstr>
  </property>
  <property fmtid="{D5CDD505-2E9C-101B-9397-08002B2CF9AE}" pid="7" name="MSIP_Label_aaabd579-6ac7-44f9-a040-3c8969a909e9_Enabled">
    <vt:lpwstr>True</vt:lpwstr>
  </property>
  <property fmtid="{D5CDD505-2E9C-101B-9397-08002B2CF9AE}" pid="8" name="Order">
    <vt:r8>410600</vt:r8>
  </property>
  <property fmtid="{D5CDD505-2E9C-101B-9397-08002B2CF9AE}" pid="9" name="MSIP_Label_aaabd579-6ac7-44f9-a040-3c8969a909e9_Removed">
    <vt:lpwstr>False</vt:lpwstr>
  </property>
  <property fmtid="{D5CDD505-2E9C-101B-9397-08002B2CF9AE}" pid="10" name="MSIP_Label_aaabd579-6ac7-44f9-a040-3c8969a909e9_Parent">
    <vt:lpwstr>80c7eedd-47e9-464d-9f6b-f4d7d1f25326</vt:lpwstr>
  </property>
  <property fmtid="{D5CDD505-2E9C-101B-9397-08002B2CF9AE}" pid="11" name="MSIP_Label_aaabd579-6ac7-44f9-a040-3c8969a909e9_Extended_MSFT_Method">
    <vt:lpwstr>Standard</vt:lpwstr>
  </property>
  <property fmtid="{D5CDD505-2E9C-101B-9397-08002B2CF9AE}" pid="12" name="MSIP_Label_80c7eedd-47e9-464d-9f6b-f4d7d1f25326_Enabled">
    <vt:lpwstr>True</vt:lpwstr>
  </property>
  <property fmtid="{D5CDD505-2E9C-101B-9397-08002B2CF9AE}" pid="13" name="MSIP_Label_80c7eedd-47e9-464d-9f6b-f4d7d1f25326_SiteId">
    <vt:lpwstr>f45ccc07-e57e-4d15-bf6f-f6cbccd2d395</vt:lpwstr>
  </property>
  <property fmtid="{D5CDD505-2E9C-101B-9397-08002B2CF9AE}" pid="14" name="MSIP_Label_80c7eedd-47e9-464d-9f6b-f4d7d1f25326_SetDate">
    <vt:lpwstr>2023-11-10T10:16:11Z</vt:lpwstr>
  </property>
  <property fmtid="{D5CDD505-2E9C-101B-9397-08002B2CF9AE}" pid="15" name="MSIP_Label_80c7eedd-47e9-464d-9f6b-f4d7d1f25326_Name">
    <vt:lpwstr>Confidential Data</vt:lpwstr>
  </property>
  <property fmtid="{D5CDD505-2E9C-101B-9397-08002B2CF9AE}" pid="16" name="MSIP_Label_80c7eedd-47e9-464d-9f6b-f4d7d1f25326_ActionId">
    <vt:lpwstr>9731555c-5a1a-4556-bdac-d8ae2c376389</vt:lpwstr>
  </property>
  <property fmtid="{D5CDD505-2E9C-101B-9397-08002B2CF9AE}" pid="17" name="MSIP_Label_80c7eedd-47e9-464d-9f6b-f4d7d1f25326_Extended_MSFT_Method">
    <vt:lpwstr>Standard</vt:lpwstr>
  </property>
  <property fmtid="{D5CDD505-2E9C-101B-9397-08002B2CF9AE}" pid="18" name="Sensitivity">
    <vt:lpwstr>Confidential Data \ Confidential Standard Confidential Data</vt:lpwstr>
  </property>
  <property fmtid="{D5CDD505-2E9C-101B-9397-08002B2CF9AE}" pid="19" name="MediaServiceImageTags">
    <vt:lpwstr/>
  </property>
</Properties>
</file>